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8\План ФХД на 2018г\Документы для Bus.gov\"/>
    </mc:Choice>
  </mc:AlternateContent>
  <bookViews>
    <workbookView xWindow="240" yWindow="492" windowWidth="15576" windowHeight="9420"/>
  </bookViews>
  <sheets>
    <sheet name="Стр.1" sheetId="1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</sheets>
  <externalReferences>
    <externalReference r:id="rId10"/>
  </externalReferences>
  <definedNames>
    <definedName name="_xlnm._FilterDatabase" localSheetId="2" hidden="1">'Стр 4-5 (2018)'!$A$8:$L$80</definedName>
    <definedName name="_xlnm._FilterDatabase" localSheetId="3" hidden="1">'Стр 4-5 (2019)'!$A$8:$K$79</definedName>
    <definedName name="_xlnm._FilterDatabase" localSheetId="4" hidden="1">'Стр 4-5 (2020)'!$A$8:$K$79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(2018)'!$A$1:$J$81</definedName>
    <definedName name="_xlnm.Print_Area" localSheetId="3">'Стр 4-5 (2019)'!$A$1:$I$79</definedName>
    <definedName name="_xlnm.Print_Area" localSheetId="4">'Стр 4-5 (2020)'!$A$1:$I$79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D47" i="12" l="1"/>
  <c r="E16" i="12"/>
  <c r="E17" i="12"/>
  <c r="E67" i="2"/>
  <c r="E62" i="2"/>
  <c r="D13" i="12"/>
  <c r="D12" i="12"/>
  <c r="D8" i="12"/>
  <c r="E34" i="2"/>
  <c r="E32" i="2"/>
  <c r="D16" i="12"/>
  <c r="D19" i="12"/>
  <c r="D18" i="12"/>
  <c r="D17" i="12"/>
  <c r="E52" i="2" l="1"/>
  <c r="E58" i="2" l="1"/>
  <c r="E54" i="2"/>
  <c r="E57" i="2"/>
  <c r="E33" i="2"/>
  <c r="F12" i="12" l="1"/>
  <c r="E14" i="12"/>
  <c r="F13" i="12"/>
  <c r="E13" i="12"/>
  <c r="F11" i="12"/>
  <c r="G57" i="2" l="1"/>
  <c r="G33" i="2"/>
  <c r="G20" i="2"/>
  <c r="E11" i="12" l="1"/>
  <c r="E66" i="2" l="1"/>
  <c r="E65" i="2"/>
  <c r="E14" i="2"/>
  <c r="D11" i="12" l="1"/>
  <c r="D7" i="12" l="1"/>
  <c r="I33" i="2" l="1"/>
  <c r="I62" i="2" l="1"/>
  <c r="I58" i="2"/>
  <c r="I57" i="2"/>
  <c r="I54" i="2"/>
  <c r="G61" i="2" l="1"/>
  <c r="G62" i="2"/>
  <c r="C18" i="12" l="1"/>
  <c r="C14" i="12" s="1"/>
  <c r="C17" i="12"/>
  <c r="C16" i="12"/>
  <c r="C19" i="12"/>
  <c r="D14" i="12" l="1"/>
  <c r="I61" i="2"/>
  <c r="D64" i="12" l="1"/>
  <c r="E64" i="12"/>
  <c r="F64" i="12"/>
  <c r="C64" i="12"/>
  <c r="H12" i="17" l="1"/>
  <c r="H12" i="16"/>
  <c r="I12" i="2" l="1"/>
  <c r="H41" i="12" l="1"/>
  <c r="G41" i="12"/>
  <c r="G42" i="12"/>
  <c r="F7" i="12"/>
  <c r="E7" i="12"/>
  <c r="F19" i="12"/>
  <c r="E19" i="12"/>
  <c r="F18" i="12"/>
  <c r="E18" i="12"/>
  <c r="F17" i="12"/>
  <c r="F16" i="12"/>
  <c r="F14" i="12" l="1"/>
  <c r="I41" i="12"/>
  <c r="C41" i="12" s="1"/>
  <c r="H61" i="17"/>
  <c r="H61" i="16"/>
  <c r="F37" i="12" l="1"/>
  <c r="E37" i="12"/>
  <c r="E64" i="2" l="1"/>
  <c r="E61" i="17" l="1"/>
  <c r="E51" i="17"/>
  <c r="H57" i="17"/>
  <c r="H56" i="17"/>
  <c r="H53" i="17" s="1"/>
  <c r="E14" i="17"/>
  <c r="E15" i="2" l="1"/>
  <c r="E15" i="16"/>
  <c r="E15" i="17"/>
  <c r="E61" i="16"/>
  <c r="E40" i="17"/>
  <c r="D40" i="17" s="1"/>
  <c r="E40" i="16"/>
  <c r="D40" i="16" s="1"/>
  <c r="E41" i="2"/>
  <c r="E42" i="2"/>
  <c r="E41" i="17"/>
  <c r="D11" i="2" l="1"/>
  <c r="E14" i="16" l="1"/>
  <c r="E12" i="16" s="1"/>
  <c r="D12" i="16" s="1"/>
  <c r="H53" i="16"/>
  <c r="D14" i="16" l="1"/>
  <c r="E9" i="16"/>
  <c r="C58" i="12"/>
  <c r="C57" i="12"/>
  <c r="C54" i="12"/>
  <c r="C47" i="12"/>
  <c r="C46" i="12"/>
  <c r="C45" i="12"/>
  <c r="C44" i="12"/>
  <c r="C28" i="12"/>
  <c r="C23" i="12"/>
  <c r="C12" i="12"/>
  <c r="C11" i="12"/>
  <c r="C13" i="12" s="1"/>
  <c r="C8" i="12"/>
  <c r="I67" i="2" l="1"/>
  <c r="E48" i="2" l="1"/>
  <c r="D14" i="2" l="1"/>
  <c r="E53" i="16" l="1"/>
  <c r="E51" i="16"/>
  <c r="E47" i="16" l="1"/>
  <c r="D37" i="2"/>
  <c r="D34" i="2"/>
  <c r="G35" i="2"/>
  <c r="D15" i="17" l="1"/>
  <c r="D15" i="16"/>
  <c r="E44" i="17" l="1"/>
  <c r="E44" i="16"/>
  <c r="D44" i="16" s="1"/>
  <c r="I45" i="2" l="1"/>
  <c r="E45" i="2"/>
  <c r="D15" i="2" l="1"/>
  <c r="D41" i="2" l="1"/>
  <c r="D42" i="17"/>
  <c r="D41" i="17"/>
  <c r="D43" i="2"/>
  <c r="D42" i="16"/>
  <c r="D41" i="16"/>
  <c r="I39" i="2"/>
  <c r="D42" i="2"/>
  <c r="E39" i="2" l="1"/>
  <c r="D39" i="2"/>
  <c r="H60" i="17" l="1"/>
  <c r="H47" i="17" l="1"/>
  <c r="D56" i="2" l="1"/>
  <c r="D52" i="2"/>
  <c r="D51" i="2"/>
  <c r="D50" i="2"/>
  <c r="D18" i="2"/>
  <c r="D20" i="2"/>
  <c r="E12" i="2"/>
  <c r="BU16" i="9"/>
  <c r="BU7" i="9" s="1"/>
  <c r="BU9" i="9"/>
  <c r="BU31" i="9"/>
  <c r="BU25" i="9"/>
  <c r="E9" i="2" l="1"/>
  <c r="D12" i="2"/>
  <c r="BU23" i="9"/>
  <c r="G30" i="2" l="1"/>
  <c r="E53" i="17" l="1"/>
  <c r="H44" i="12"/>
  <c r="G44" i="12"/>
  <c r="H43" i="12"/>
  <c r="G43" i="12"/>
  <c r="E47" i="17" l="1"/>
  <c r="E58" i="12"/>
  <c r="E57" i="12"/>
  <c r="E47" i="12"/>
  <c r="E46" i="12"/>
  <c r="E45" i="12"/>
  <c r="E44" i="12"/>
  <c r="E28" i="12"/>
  <c r="E27" i="12"/>
  <c r="E23" i="12"/>
  <c r="E12" i="12"/>
  <c r="E8" i="12"/>
  <c r="F58" i="12"/>
  <c r="F57" i="12"/>
  <c r="F47" i="12"/>
  <c r="F46" i="12"/>
  <c r="F45" i="12"/>
  <c r="F44" i="12"/>
  <c r="F28" i="12"/>
  <c r="F27" i="12"/>
  <c r="F23" i="12"/>
  <c r="F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H38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D77" i="16"/>
  <c r="D76" i="16"/>
  <c r="D67" i="16"/>
  <c r="D64" i="16"/>
  <c r="D63" i="16"/>
  <c r="F61" i="16"/>
  <c r="D60" i="16"/>
  <c r="D57" i="16"/>
  <c r="D55" i="16"/>
  <c r="F53" i="16"/>
  <c r="F47" i="16" s="1"/>
  <c r="D51" i="16"/>
  <c r="D50" i="16"/>
  <c r="D49" i="16"/>
  <c r="I47" i="16"/>
  <c r="G47" i="16"/>
  <c r="D43" i="16"/>
  <c r="H38" i="16"/>
  <c r="E36" i="16"/>
  <c r="E34" i="16" s="1"/>
  <c r="D34" i="16" s="1"/>
  <c r="D33" i="16"/>
  <c r="D32" i="16"/>
  <c r="D31" i="16"/>
  <c r="I29" i="16"/>
  <c r="H29" i="16"/>
  <c r="G29" i="16"/>
  <c r="F29" i="16"/>
  <c r="D25" i="16"/>
  <c r="D23" i="16" s="1"/>
  <c r="H23" i="16"/>
  <c r="H9" i="16" s="1"/>
  <c r="D22" i="16"/>
  <c r="D21" i="16"/>
  <c r="D20" i="16"/>
  <c r="D18" i="16"/>
  <c r="K12" i="16"/>
  <c r="D11" i="16"/>
  <c r="F9" i="16"/>
  <c r="K20" i="16" s="1"/>
  <c r="D9" i="16" l="1"/>
  <c r="J43" i="12"/>
  <c r="D53" i="17"/>
  <c r="F54" i="12" s="1"/>
  <c r="F47" i="17"/>
  <c r="J44" i="12"/>
  <c r="G27" i="17"/>
  <c r="D65" i="16"/>
  <c r="G27" i="16"/>
  <c r="E38" i="17"/>
  <c r="D38" i="17" s="1"/>
  <c r="E38" i="16"/>
  <c r="D38" i="16" s="1"/>
  <c r="H27" i="17"/>
  <c r="F27" i="17"/>
  <c r="L20" i="17" s="1"/>
  <c r="D63" i="17"/>
  <c r="D66" i="17"/>
  <c r="E9" i="17"/>
  <c r="E29" i="17"/>
  <c r="D56" i="17"/>
  <c r="F27" i="16"/>
  <c r="L20" i="16" s="1"/>
  <c r="D56" i="16"/>
  <c r="D36" i="16"/>
  <c r="D36" i="17"/>
  <c r="D66" i="16"/>
  <c r="D53" i="16"/>
  <c r="E54" i="12" s="1"/>
  <c r="E29" i="16"/>
  <c r="D47" i="17" l="1"/>
  <c r="I9" i="3" s="1"/>
  <c r="D12" i="17"/>
  <c r="D9" i="17" s="1"/>
  <c r="K9" i="17" s="1"/>
  <c r="E27" i="16"/>
  <c r="K9" i="16"/>
  <c r="D29" i="17"/>
  <c r="E27" i="17"/>
  <c r="D27" i="17" s="1"/>
  <c r="D61" i="16"/>
  <c r="D47" i="16" s="1"/>
  <c r="H9" i="3" s="1"/>
  <c r="H47" i="16"/>
  <c r="H27" i="16" s="1"/>
  <c r="K14" i="17"/>
  <c r="L14" i="17" s="1"/>
  <c r="D29" i="16"/>
  <c r="K14" i="16"/>
  <c r="J9" i="17" l="1"/>
  <c r="L12" i="17"/>
  <c r="D27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1" i="2" l="1"/>
  <c r="D33" i="2"/>
  <c r="K44" i="12" l="1"/>
  <c r="K43" i="12"/>
  <c r="I66" i="2" l="1"/>
  <c r="I64" i="2"/>
  <c r="D58" i="2"/>
  <c r="D45" i="12" l="1"/>
  <c r="D46" i="12"/>
  <c r="J41" i="12" l="1"/>
  <c r="K41" i="12" s="1"/>
  <c r="I42" i="12"/>
  <c r="D41" i="12" s="1"/>
  <c r="D57" i="2"/>
  <c r="I48" i="2" l="1"/>
  <c r="G54" i="2"/>
  <c r="G48" i="2" s="1"/>
  <c r="D54" i="2" l="1"/>
  <c r="D44" i="12" l="1"/>
  <c r="L12" i="2" l="1"/>
  <c r="D27" i="12" l="1"/>
  <c r="D23" i="12"/>
  <c r="J42" i="12" s="1"/>
  <c r="K42" i="12" s="1"/>
  <c r="D54" i="12" l="1"/>
  <c r="H30" i="2"/>
  <c r="I30" i="2"/>
  <c r="I28" i="2" s="1"/>
  <c r="J30" i="2"/>
  <c r="D22" i="2" l="1"/>
  <c r="D68" i="2" l="1"/>
  <c r="D45" i="2"/>
  <c r="D44" i="2"/>
  <c r="G28" i="2"/>
  <c r="D62" i="2" l="1"/>
  <c r="I24" i="2"/>
  <c r="I9" i="2" s="1"/>
  <c r="L14" i="2" l="1"/>
  <c r="D48" i="2"/>
  <c r="G9" i="3" s="1"/>
  <c r="G13" i="3" s="1"/>
  <c r="E30" i="2"/>
  <c r="E35" i="2" l="1"/>
  <c r="D32" i="2"/>
  <c r="D30" i="2" s="1"/>
  <c r="D35" i="2" l="1"/>
  <c r="D28" i="2" s="1"/>
  <c r="E28" i="2"/>
  <c r="D67" i="2"/>
  <c r="M14" i="2" l="1"/>
  <c r="D64" i="2"/>
  <c r="H48" i="2" l="1"/>
  <c r="J48" i="2"/>
  <c r="G9" i="2" l="1"/>
  <c r="L20" i="2" s="1"/>
  <c r="M20" i="2" s="1"/>
  <c r="H28" i="2" l="1"/>
  <c r="D28" i="12" l="1"/>
  <c r="J9" i="3" l="1"/>
  <c r="K9" i="3"/>
  <c r="L9" i="3"/>
  <c r="F12" i="3"/>
  <c r="F11" i="3"/>
  <c r="E12" i="3"/>
  <c r="E13" i="3"/>
  <c r="E11" i="3"/>
  <c r="D78" i="2"/>
  <c r="D21" i="2"/>
  <c r="D26" i="2"/>
  <c r="D24" i="2" s="1"/>
  <c r="D9" i="2" s="1"/>
  <c r="E9" i="3" l="1"/>
  <c r="K9" i="2"/>
  <c r="D77" i="2"/>
  <c r="L9" i="2" s="1"/>
  <c r="M9" i="2" l="1"/>
  <c r="D66" i="2"/>
  <c r="D65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340.99 - </t>
        </r>
        <r>
          <rPr>
            <sz val="9"/>
            <color indexed="81"/>
            <rFont val="Tahoma"/>
            <family val="2"/>
            <charset val="204"/>
          </rPr>
          <t xml:space="preserve">1 500 000 
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340.99 - 1 471 830,45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<sst xmlns="http://schemas.openxmlformats.org/spreadsheetml/2006/main" count="789" uniqueCount="248">
  <si>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</si>
  <si>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</si>
  <si>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</si>
  <si>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</si>
  <si>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</si>
  <si>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</si>
  <si>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</si>
  <si>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</si>
  <si>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</si>
  <si>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</si>
  <si>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</si>
  <si>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</si>
  <si>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</si>
  <si>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</si>
  <si>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</si>
  <si>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</si>
  <si>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</si>
  <si>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</si>
  <si>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</si>
  <si>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</si>
  <si>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</si>
  <si>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</si>
  <si>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</si>
  <si>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</si>
  <si>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</si>
  <si>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</si>
  <si>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</si>
  <si>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</si>
  <si>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</si>
  <si>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</si>
  <si>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</si>
  <si>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</si>
  <si>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</si>
  <si>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</si>
  <si>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</si>
  <si>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</si>
  <si>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</si>
  <si>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</si>
  <si>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</si>
  <si>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</si>
  <si>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</si>
  <si>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</si>
  <si>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</si>
  <si>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</si>
  <si>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</si>
  <si>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</si>
  <si>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</si>
  <si>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</si>
  <si>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</si>
  <si>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</si>
  <si>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</si>
  <si>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</si>
  <si>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</si>
  <si>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</si>
  <si>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</si>
  <si>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</si>
  <si>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</si>
  <si>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</si>
  <si>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</si>
  <si>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</si>
  <si>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</si>
  <si>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</si>
  <si>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</si>
  <si>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</si>
  <si>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</si>
  <si>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</si>
  <si>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</si>
  <si>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</si>
  <si>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</si>
  <si>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</si>
  <si>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</si>
  <si>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</si>
  <si>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</si>
  <si>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</si>
  <si>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</si>
  <si>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</si>
  <si>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</si>
  <si>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</si>
  <si>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</si>
  <si>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</si>
  <si>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</si>
  <si>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</si>
  <si>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</si>
  <si>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</si>
  <si>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</si>
  <si>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</si>
  <si>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</si>
  <si>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</si>
  <si>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</si>
  <si>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</si>
  <si>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</si>
  <si>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</si>
  <si>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</si>
  <si>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</si>
  <si>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</si>
  <si>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</si>
  <si>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</si>
  <si>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</si>
  <si>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</si>
  <si>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</si>
  <si>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</si>
  <si>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</si>
  <si>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</si>
  <si>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</si>
  <si>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</si>
  <si>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</si>
  <si>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</si>
  <si>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</si>
  <si>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</si>
  <si>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</si>
  <si>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</si>
  <si>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</si>
  <si>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</si>
  <si>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</si>
  <si>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</si>
  <si>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</si>
  <si>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</si>
  <si>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</si>
  <si>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</si>
  <si>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</si>
  <si>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</si>
  <si>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</si>
  <si>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</si>
  <si>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</si>
  <si>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</si>
  <si>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</si>
  <si>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</si>
  <si>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</si>
  <si>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</si>
  <si>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</si>
  <si>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</si>
  <si>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</si>
  <si>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</si>
  <si>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</si>
  <si>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</si>
  <si>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</si>
  <si>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</si>
  <si>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</si>
  <si>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</si>
  <si>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</si>
  <si>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</si>
  <si>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</si>
  <si>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</si>
  <si>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</si>
  <si>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</si>
  <si>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</si>
  <si>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</si>
  <si>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</si>
  <si>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</si>
  <si>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</si>
  <si>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</si>
  <si>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</si>
  <si>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</si>
  <si>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</si>
  <si>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</si>
  <si>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</si>
  <si>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</si>
  <si>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</si>
  <si>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</si>
  <si>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</si>
  <si>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</si>
  <si>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</si>
  <si>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</si>
  <si>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</si>
  <si>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</si>
  <si>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</si>
  <si>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</si>
  <si>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</si>
  <si>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</si>
  <si>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</si>
  <si>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</si>
  <si>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</si>
  <si>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</si>
  <si>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</si>
  <si>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</si>
  <si>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</si>
  <si>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</si>
  <si>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</si>
  <si>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</si>
  <si>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</si>
  <si>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</si>
  <si>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</si>
  <si>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</si>
  <si>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</si>
  <si>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</si>
  <si>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</si>
  <si>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</si>
  <si>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</si>
  <si>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</si>
  <si>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</si>
  <si>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</si>
  <si>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</si>
  <si>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</si>
  <si>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</si>
  <si>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</si>
  <si>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</si>
  <si>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</si>
  <si>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</si>
  <si>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</si>
  <si>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</si>
  <si>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</si>
  <si>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</si>
  <si>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</si>
  <si>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</si>
  <si>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</si>
  <si>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</si>
  <si>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</si>
  <si>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</si>
  <si>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</si>
  <si>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</si>
  <si>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</si>
  <si>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</si>
  <si>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</si>
  <si>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</si>
  <si>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</si>
  <si>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</si>
  <si>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</si>
  <si>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</si>
  <si>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</si>
  <si>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</si>
  <si>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</si>
  <si>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</si>
  <si>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</si>
  <si>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</si>
  <si>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</si>
  <si>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</si>
  <si>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</si>
  <si>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>на "01"  января 2018г.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</si>
  <si>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</si>
  <si>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</si>
  <si>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</si>
  <si>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</si>
  <si>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</si>
  <si>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</si>
  <si>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</si>
  <si>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</si>
  <si>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</si>
  <si>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</si>
  <si>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</si>
  <si>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</si>
  <si>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</si>
  <si>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</si>
  <si>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</si>
  <si>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</si>
  <si>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</si>
  <si>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и.о. главного бухгалтера</t>
  </si>
  <si>
    <t>Лымарь И.В.</t>
  </si>
  <si>
    <t>ЦМ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</si>
</sst>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0</xdr:rowOff>
    </xdr:from>
    <xdr:to>
      <xdr:col>12</xdr:col>
      <xdr:colOff>98554</xdr:colOff>
      <xdr:row>57</xdr:row>
      <xdr:rowOff>60960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0"/>
          <a:ext cx="7413751" cy="1048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&#1055;&#1086;&#1083;&#1100;&#1079;&#1086;&#1074;&#1072;&#1090;&#1077;&#1083;&#1080;\&#1075;&#1083;&#1073;&#1091;&#1093;%202017\&#1055;&#1083;&#1072;&#1085;%20&#1060;&#1061;&#1044;%20&#1085;&#1072;%202017&#1075;\&#1057;&#1090;&#1088;&#1091;&#1082;&#1090;&#1091;&#1088;&#1099;%20&#1055;&#1060;&#1061;&#1044;%202017\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8671875" defaultRowHeight="13.2" x14ac:dyDescent="0.25"/>
  <cols>
    <col min="1" max="16384" width="0.88671875" style="3"/>
  </cols>
  <sheetData>
    <row r="1" spans="1:112" ht="16.5" customHeight="1" x14ac:dyDescent="0.25">
      <c r="A1" s="168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12" x14ac:dyDescent="0.25">
      <c r="A2" s="189" t="s">
        <v>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</row>
    <row r="3" spans="1:112" x14ac:dyDescent="0.25">
      <c r="A3" s="189" t="s">
        <v>222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</row>
    <row r="4" spans="1:112" x14ac:dyDescent="0.25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</row>
    <row r="5" spans="1:112" ht="3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5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7"/>
      <c r="BU6" s="195" t="s">
        <v>45</v>
      </c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7"/>
      <c r="DH6" s="85"/>
    </row>
    <row r="7" spans="1:112" s="5" customFormat="1" ht="15" customHeight="1" x14ac:dyDescent="0.25">
      <c r="A7" s="23"/>
      <c r="B7" s="191" t="s">
        <v>40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2"/>
      <c r="BU7" s="198">
        <f>BU9+BU16</f>
        <v>369256429.45999998</v>
      </c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200"/>
    </row>
    <row r="8" spans="1:112" s="6" customFormat="1" ht="15" customHeight="1" x14ac:dyDescent="0.25">
      <c r="A8" s="24"/>
      <c r="B8" s="193" t="s">
        <v>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4"/>
      <c r="BU8" s="179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1"/>
    </row>
    <row r="9" spans="1:112" ht="24.75" customHeight="1" x14ac:dyDescent="0.25">
      <c r="A9" s="25"/>
      <c r="B9" s="177" t="s">
        <v>39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7"/>
      <c r="BT9" s="178"/>
      <c r="BU9" s="174">
        <f>BU11+BU12+BU13+BU14</f>
        <v>341314091.27999997</v>
      </c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  <c r="DB9" s="175"/>
      <c r="DC9" s="176"/>
    </row>
    <row r="10" spans="1:112" ht="15" customHeight="1" x14ac:dyDescent="0.25">
      <c r="A10" s="26"/>
      <c r="B10" s="185" t="s">
        <v>4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5"/>
      <c r="BP10" s="185"/>
      <c r="BQ10" s="185"/>
      <c r="BR10" s="185"/>
      <c r="BS10" s="185"/>
      <c r="BT10" s="186"/>
      <c r="BU10" s="174"/>
      <c r="BV10" s="175"/>
      <c r="BW10" s="175"/>
      <c r="BX10" s="175"/>
      <c r="BY10" s="175"/>
      <c r="BZ10" s="175"/>
      <c r="CA10" s="175"/>
      <c r="CB10" s="175"/>
      <c r="CC10" s="175"/>
      <c r="CD10" s="175"/>
      <c r="CE10" s="175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6"/>
    </row>
    <row r="11" spans="1:112" ht="45" customHeight="1" x14ac:dyDescent="0.25">
      <c r="A11" s="25"/>
      <c r="B11" s="177" t="s">
        <v>41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8"/>
      <c r="BU11" s="171">
        <v>341314091.27999997</v>
      </c>
      <c r="BV11" s="172"/>
      <c r="BW11" s="172"/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2"/>
      <c r="CO11" s="172"/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3"/>
    </row>
    <row r="12" spans="1:112" ht="44.25" customHeight="1" x14ac:dyDescent="0.25">
      <c r="A12" s="25"/>
      <c r="B12" s="177" t="s">
        <v>42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8"/>
      <c r="BU12" s="171">
        <v>0</v>
      </c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3"/>
    </row>
    <row r="13" spans="1:112" ht="41.25" customHeight="1" x14ac:dyDescent="0.25">
      <c r="A13" s="25"/>
      <c r="B13" s="177" t="s">
        <v>43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8"/>
      <c r="BU13" s="171">
        <v>0</v>
      </c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3"/>
    </row>
    <row r="14" spans="1:112" ht="29.25" customHeight="1" x14ac:dyDescent="0.25">
      <c r="A14" s="25"/>
      <c r="B14" s="177" t="s">
        <v>33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8"/>
      <c r="BU14" s="171">
        <v>0</v>
      </c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3"/>
    </row>
    <row r="15" spans="1:112" ht="22.5" customHeight="1" x14ac:dyDescent="0.25">
      <c r="A15" s="25"/>
      <c r="B15" s="177" t="s">
        <v>34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8"/>
      <c r="BU15" s="171">
        <v>251212020.13999999</v>
      </c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3"/>
    </row>
    <row r="16" spans="1:112" ht="24.75" customHeight="1" x14ac:dyDescent="0.25">
      <c r="A16" s="25"/>
      <c r="B16" s="177" t="s">
        <v>38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8"/>
      <c r="BU16" s="171">
        <f>SUM(BU18:DC21)</f>
        <v>27942338.18</v>
      </c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3"/>
    </row>
    <row r="17" spans="1:107" ht="15" customHeight="1" x14ac:dyDescent="0.25">
      <c r="A17" s="27"/>
      <c r="B17" s="185" t="s">
        <v>4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6"/>
      <c r="BU17" s="171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3"/>
    </row>
    <row r="18" spans="1:107" ht="15" customHeight="1" x14ac:dyDescent="0.25">
      <c r="A18" s="25"/>
      <c r="B18" s="177" t="s">
        <v>37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8"/>
      <c r="BU18" s="171">
        <v>6260542.9500000002</v>
      </c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3"/>
    </row>
    <row r="19" spans="1:107" ht="39" customHeight="1" x14ac:dyDescent="0.25">
      <c r="A19" s="25"/>
      <c r="B19" s="177" t="s">
        <v>147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8"/>
      <c r="BU19" s="171">
        <v>15994903.98</v>
      </c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3"/>
    </row>
    <row r="20" spans="1:107" ht="39" customHeight="1" x14ac:dyDescent="0.25">
      <c r="A20" s="25"/>
      <c r="B20" s="177" t="s">
        <v>44</v>
      </c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8"/>
      <c r="BU20" s="171">
        <v>5686891.25</v>
      </c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3"/>
    </row>
    <row r="21" spans="1:107" ht="26.25" customHeight="1" x14ac:dyDescent="0.25">
      <c r="A21" s="25"/>
      <c r="B21" s="177" t="s">
        <v>148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8"/>
      <c r="BU21" s="171">
        <v>0</v>
      </c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3"/>
    </row>
    <row r="22" spans="1:107" ht="15" customHeight="1" x14ac:dyDescent="0.25">
      <c r="A22" s="25"/>
      <c r="B22" s="177" t="s">
        <v>149</v>
      </c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8"/>
      <c r="BU22" s="171">
        <v>1349366.77</v>
      </c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3"/>
    </row>
    <row r="23" spans="1:107" s="5" customFormat="1" ht="15" customHeight="1" x14ac:dyDescent="0.25">
      <c r="A23" s="23"/>
      <c r="B23" s="191" t="s">
        <v>36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2"/>
      <c r="BU23" s="182">
        <f>BU25+BU29+BU31</f>
        <v>8346296.4000000004</v>
      </c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4"/>
    </row>
    <row r="24" spans="1:107" ht="12.75" customHeight="1" x14ac:dyDescent="0.25">
      <c r="A24" s="26"/>
      <c r="B24" s="185" t="s">
        <v>8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6"/>
      <c r="BU24" s="171"/>
      <c r="BV24" s="172"/>
      <c r="BW24" s="172"/>
      <c r="BX24" s="172"/>
      <c r="BY24" s="172"/>
      <c r="BZ24" s="172"/>
      <c r="CA24" s="172"/>
      <c r="CB24" s="172"/>
      <c r="CC24" s="172"/>
      <c r="CD24" s="172"/>
      <c r="CE24" s="172"/>
      <c r="CF24" s="172"/>
      <c r="CG24" s="172"/>
      <c r="CH24" s="172"/>
      <c r="CI24" s="172"/>
      <c r="CJ24" s="172"/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3"/>
    </row>
    <row r="25" spans="1:107" ht="15" customHeight="1" x14ac:dyDescent="0.25">
      <c r="A25" s="25"/>
      <c r="B25" s="177" t="s">
        <v>47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8"/>
      <c r="BU25" s="171">
        <f>BU27+BU28</f>
        <v>8240773.9199999999</v>
      </c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3"/>
    </row>
    <row r="26" spans="1:107" ht="14.25" customHeight="1" x14ac:dyDescent="0.25">
      <c r="A26" s="26"/>
      <c r="B26" s="185" t="s">
        <v>4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6"/>
      <c r="BU26" s="171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3"/>
    </row>
    <row r="27" spans="1:107" ht="15.75" customHeight="1" x14ac:dyDescent="0.25">
      <c r="A27" s="28"/>
      <c r="B27" s="187" t="s">
        <v>48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8"/>
      <c r="BU27" s="174">
        <v>8240773.9199999999</v>
      </c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5"/>
      <c r="CO27" s="175"/>
      <c r="CP27" s="175"/>
      <c r="CQ27" s="175"/>
      <c r="CR27" s="175"/>
      <c r="CS27" s="175"/>
      <c r="CT27" s="175"/>
      <c r="CU27" s="175"/>
      <c r="CV27" s="175"/>
      <c r="CW27" s="175"/>
      <c r="CX27" s="175"/>
      <c r="CY27" s="175"/>
      <c r="CZ27" s="175"/>
      <c r="DA27" s="175"/>
      <c r="DB27" s="175"/>
      <c r="DC27" s="176"/>
    </row>
    <row r="28" spans="1:107" ht="29.25" customHeight="1" x14ac:dyDescent="0.25">
      <c r="A28" s="28"/>
      <c r="B28" s="187" t="s">
        <v>49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8"/>
      <c r="BU28" s="174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6"/>
    </row>
    <row r="29" spans="1:107" ht="15.75" customHeight="1" x14ac:dyDescent="0.25">
      <c r="A29" s="28"/>
      <c r="B29" s="177" t="s">
        <v>50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8"/>
      <c r="BU29" s="174">
        <v>0</v>
      </c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6"/>
    </row>
    <row r="30" spans="1:107" ht="26.25" customHeight="1" x14ac:dyDescent="0.25">
      <c r="A30" s="28"/>
      <c r="B30" s="187" t="s">
        <v>55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187"/>
      <c r="BS30" s="187"/>
      <c r="BT30" s="188"/>
      <c r="BU30" s="174">
        <v>0</v>
      </c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6"/>
    </row>
    <row r="31" spans="1:107" ht="15" customHeight="1" x14ac:dyDescent="0.25">
      <c r="A31" s="28"/>
      <c r="B31" s="187" t="s">
        <v>51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8"/>
      <c r="BU31" s="174">
        <f>BU33+BU34+BU35</f>
        <v>105522.48</v>
      </c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75"/>
      <c r="CJ31" s="175"/>
      <c r="CK31" s="175"/>
      <c r="CL31" s="175"/>
      <c r="CM31" s="175"/>
      <c r="CN31" s="175"/>
      <c r="CO31" s="175"/>
      <c r="CP31" s="175"/>
      <c r="CQ31" s="175"/>
      <c r="CR31" s="175"/>
      <c r="CS31" s="175"/>
      <c r="CT31" s="175"/>
      <c r="CU31" s="175"/>
      <c r="CV31" s="175"/>
      <c r="CW31" s="175"/>
      <c r="CX31" s="175"/>
      <c r="CY31" s="175"/>
      <c r="CZ31" s="175"/>
      <c r="DA31" s="175"/>
      <c r="DB31" s="175"/>
      <c r="DC31" s="176"/>
    </row>
    <row r="32" spans="1:107" ht="15" customHeight="1" x14ac:dyDescent="0.25">
      <c r="A32" s="26"/>
      <c r="B32" s="185" t="s">
        <v>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/>
      <c r="BT32" s="186"/>
      <c r="BU32" s="171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3"/>
    </row>
    <row r="33" spans="1:107" ht="29.25" customHeight="1" x14ac:dyDescent="0.25">
      <c r="A33" s="25"/>
      <c r="B33" s="177" t="s">
        <v>52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7"/>
      <c r="BN33" s="177"/>
      <c r="BO33" s="177"/>
      <c r="BP33" s="177"/>
      <c r="BQ33" s="177"/>
      <c r="BR33" s="177"/>
      <c r="BS33" s="177"/>
      <c r="BT33" s="178"/>
      <c r="BU33" s="174">
        <v>105522.48</v>
      </c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6"/>
    </row>
    <row r="34" spans="1:107" ht="29.25" customHeight="1" x14ac:dyDescent="0.25">
      <c r="A34" s="25"/>
      <c r="B34" s="177" t="s">
        <v>53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7"/>
      <c r="BN34" s="177"/>
      <c r="BO34" s="177"/>
      <c r="BP34" s="177"/>
      <c r="BQ34" s="177"/>
      <c r="BR34" s="177"/>
      <c r="BS34" s="177"/>
      <c r="BT34" s="178"/>
      <c r="BU34" s="171">
        <v>0</v>
      </c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3"/>
    </row>
    <row r="35" spans="1:107" ht="29.25" customHeight="1" x14ac:dyDescent="0.25">
      <c r="A35" s="25"/>
      <c r="B35" s="177" t="s">
        <v>54</v>
      </c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8"/>
      <c r="BU35" s="171">
        <v>0</v>
      </c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3"/>
    </row>
    <row r="36" spans="1:107" s="5" customFormat="1" ht="15" customHeight="1" x14ac:dyDescent="0.25">
      <c r="A36" s="23"/>
      <c r="B36" s="191" t="s">
        <v>35</v>
      </c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2"/>
      <c r="BU36" s="182">
        <v>0</v>
      </c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4"/>
    </row>
    <row r="37" spans="1:107" ht="15" customHeight="1" x14ac:dyDescent="0.25">
      <c r="A37" s="29"/>
      <c r="B37" s="201" t="s">
        <v>8</v>
      </c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  <c r="BI37" s="201"/>
      <c r="BJ37" s="201"/>
      <c r="BK37" s="201"/>
      <c r="BL37" s="201"/>
      <c r="BM37" s="201"/>
      <c r="BN37" s="201"/>
      <c r="BO37" s="201"/>
      <c r="BP37" s="201"/>
      <c r="BQ37" s="201"/>
      <c r="BR37" s="201"/>
      <c r="BS37" s="201"/>
      <c r="BT37" s="202"/>
      <c r="BU37" s="171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3"/>
    </row>
    <row r="38" spans="1:107" ht="15" customHeight="1" x14ac:dyDescent="0.25">
      <c r="A38" s="25"/>
      <c r="B38" s="177" t="s">
        <v>56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7"/>
      <c r="BR38" s="177"/>
      <c r="BS38" s="177"/>
      <c r="BT38" s="178"/>
      <c r="BU38" s="171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3"/>
    </row>
    <row r="39" spans="1:107" ht="15" customHeight="1" x14ac:dyDescent="0.25">
      <c r="A39" s="25"/>
      <c r="B39" s="177" t="s">
        <v>57</v>
      </c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77"/>
      <c r="BL39" s="177"/>
      <c r="BM39" s="177"/>
      <c r="BN39" s="177"/>
      <c r="BO39" s="177"/>
      <c r="BP39" s="177"/>
      <c r="BQ39" s="177"/>
      <c r="BR39" s="177"/>
      <c r="BS39" s="177"/>
      <c r="BT39" s="178"/>
      <c r="BU39" s="171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3"/>
    </row>
    <row r="40" spans="1:107" ht="15" customHeight="1" x14ac:dyDescent="0.25">
      <c r="A40" s="26"/>
      <c r="B40" s="185" t="s">
        <v>4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5"/>
      <c r="BK40" s="185"/>
      <c r="BL40" s="185"/>
      <c r="BM40" s="185"/>
      <c r="BN40" s="185"/>
      <c r="BO40" s="185"/>
      <c r="BP40" s="185"/>
      <c r="BQ40" s="185"/>
      <c r="BR40" s="185"/>
      <c r="BS40" s="185"/>
      <c r="BT40" s="186"/>
      <c r="BU40" s="171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3"/>
    </row>
    <row r="41" spans="1:107" ht="29.25" customHeight="1" x14ac:dyDescent="0.25">
      <c r="A41" s="25"/>
      <c r="B41" s="177" t="s">
        <v>58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77"/>
      <c r="BL41" s="177"/>
      <c r="BM41" s="177"/>
      <c r="BN41" s="177"/>
      <c r="BO41" s="177"/>
      <c r="BP41" s="177"/>
      <c r="BQ41" s="177"/>
      <c r="BR41" s="177"/>
      <c r="BS41" s="177"/>
      <c r="BT41" s="178"/>
      <c r="BU41" s="174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  <c r="CT41" s="175"/>
      <c r="CU41" s="175"/>
      <c r="CV41" s="175"/>
      <c r="CW41" s="175"/>
      <c r="CX41" s="175"/>
      <c r="CY41" s="175"/>
      <c r="CZ41" s="175"/>
      <c r="DA41" s="175"/>
      <c r="DB41" s="175"/>
      <c r="DC41" s="176"/>
    </row>
    <row r="42" spans="1:107" ht="15" customHeight="1" x14ac:dyDescent="0.25">
      <c r="A42" s="30"/>
      <c r="B42" s="203" t="s">
        <v>4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  <c r="BM42" s="203"/>
      <c r="BN42" s="203"/>
      <c r="BO42" s="203"/>
      <c r="BP42" s="203"/>
      <c r="BQ42" s="203"/>
      <c r="BR42" s="203"/>
      <c r="BS42" s="203"/>
      <c r="BT42" s="204"/>
      <c r="BU42" s="174"/>
      <c r="BV42" s="175"/>
      <c r="BW42" s="175"/>
      <c r="BX42" s="175"/>
      <c r="BY42" s="175"/>
      <c r="BZ42" s="175"/>
      <c r="CA42" s="175"/>
      <c r="CB42" s="175"/>
      <c r="CC42" s="175"/>
      <c r="CD42" s="175"/>
      <c r="CE42" s="175"/>
      <c r="CF42" s="175"/>
      <c r="CG42" s="175"/>
      <c r="CH42" s="175"/>
      <c r="CI42" s="175"/>
      <c r="CJ42" s="175"/>
      <c r="CK42" s="175"/>
      <c r="CL42" s="175"/>
      <c r="CM42" s="175"/>
      <c r="CN42" s="175"/>
      <c r="CO42" s="175"/>
      <c r="CP42" s="175"/>
      <c r="CQ42" s="175"/>
      <c r="CR42" s="175"/>
      <c r="CS42" s="175"/>
      <c r="CT42" s="175"/>
      <c r="CU42" s="175"/>
      <c r="CV42" s="175"/>
      <c r="CW42" s="175"/>
      <c r="CX42" s="175"/>
      <c r="CY42" s="175"/>
      <c r="CZ42" s="175"/>
      <c r="DA42" s="175"/>
      <c r="DB42" s="175"/>
      <c r="DC42" s="176"/>
    </row>
    <row r="43" spans="1:107" ht="15" customHeight="1" x14ac:dyDescent="0.25">
      <c r="A43" s="25"/>
      <c r="B43" s="169" t="s">
        <v>60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70"/>
      <c r="BU43" s="171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3"/>
    </row>
    <row r="44" spans="1:107" ht="15" customHeight="1" x14ac:dyDescent="0.25">
      <c r="A44" s="25"/>
      <c r="B44" s="169" t="s">
        <v>61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70"/>
      <c r="BU44" s="171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3"/>
    </row>
    <row r="45" spans="1:107" ht="15" customHeight="1" x14ac:dyDescent="0.25">
      <c r="A45" s="25"/>
      <c r="B45" s="169" t="s">
        <v>59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70"/>
      <c r="BU45" s="171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3"/>
    </row>
    <row r="46" spans="1:107" ht="15" customHeight="1" x14ac:dyDescent="0.25">
      <c r="A46" s="25"/>
      <c r="B46" s="169" t="s">
        <v>62</v>
      </c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70"/>
      <c r="BU46" s="171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 s="172"/>
      <c r="CP46" s="172"/>
      <c r="CQ46" s="172"/>
      <c r="CR46" s="172"/>
      <c r="CS46" s="172"/>
      <c r="CT46" s="172"/>
      <c r="CU46" s="172"/>
      <c r="CV46" s="172"/>
      <c r="CW46" s="172"/>
      <c r="CX46" s="172"/>
      <c r="CY46" s="172"/>
      <c r="CZ46" s="172"/>
      <c r="DA46" s="172"/>
      <c r="DB46" s="172"/>
      <c r="DC46" s="173"/>
    </row>
    <row r="47" spans="1:107" ht="15" customHeight="1" x14ac:dyDescent="0.25">
      <c r="A47" s="25"/>
      <c r="B47" s="169" t="s">
        <v>63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70"/>
      <c r="BU47" s="171"/>
      <c r="BV47" s="172"/>
      <c r="BW47" s="172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 s="172"/>
      <c r="CP47" s="172"/>
      <c r="CQ47" s="172"/>
      <c r="CR47" s="172"/>
      <c r="CS47" s="172"/>
      <c r="CT47" s="172"/>
      <c r="CU47" s="172"/>
      <c r="CV47" s="172"/>
      <c r="CW47" s="172"/>
      <c r="CX47" s="172"/>
      <c r="CY47" s="172"/>
      <c r="CZ47" s="172"/>
      <c r="DA47" s="172"/>
      <c r="DB47" s="172"/>
      <c r="DC47" s="173"/>
    </row>
    <row r="48" spans="1:107" ht="15" customHeight="1" x14ac:dyDescent="0.25">
      <c r="A48" s="25"/>
      <c r="B48" s="169" t="s">
        <v>64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70"/>
      <c r="BU48" s="171"/>
      <c r="BV48" s="172"/>
      <c r="BW48" s="17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 s="172"/>
      <c r="CP48" s="172"/>
      <c r="CQ48" s="172"/>
      <c r="CR48" s="172"/>
      <c r="CS48" s="172"/>
      <c r="CT48" s="172"/>
      <c r="CU48" s="172"/>
      <c r="CV48" s="172"/>
      <c r="CW48" s="172"/>
      <c r="CX48" s="172"/>
      <c r="CY48" s="172"/>
      <c r="CZ48" s="172"/>
      <c r="DA48" s="172"/>
      <c r="DB48" s="172"/>
      <c r="DC48" s="173"/>
    </row>
    <row r="49" spans="1:107" ht="40.5" customHeight="1" x14ac:dyDescent="0.25">
      <c r="A49" s="25"/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7"/>
      <c r="BP49" s="177"/>
      <c r="BQ49" s="177"/>
      <c r="BR49" s="177"/>
      <c r="BS49" s="177"/>
      <c r="BT49" s="178"/>
      <c r="BU49" s="171"/>
      <c r="BV49" s="172"/>
      <c r="BW49" s="17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2"/>
      <c r="CX49" s="172"/>
      <c r="CY49" s="172"/>
      <c r="CZ49" s="172"/>
      <c r="DA49" s="172"/>
      <c r="DB49" s="172"/>
      <c r="DC49" s="173"/>
    </row>
    <row r="50" spans="1:107" ht="15" customHeight="1" x14ac:dyDescent="0.25">
      <c r="A50" s="30"/>
      <c r="B50" s="203" t="s">
        <v>4</v>
      </c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3"/>
      <c r="BR50" s="203"/>
      <c r="BS50" s="203"/>
      <c r="BT50" s="204"/>
      <c r="BU50" s="174"/>
      <c r="BV50" s="175"/>
      <c r="BW50" s="175"/>
      <c r="BX50" s="175"/>
      <c r="BY50" s="175"/>
      <c r="BZ50" s="175"/>
      <c r="CA50" s="175"/>
      <c r="CB50" s="175"/>
      <c r="CC50" s="175"/>
      <c r="CD50" s="175"/>
      <c r="CE50" s="175"/>
      <c r="CF50" s="175"/>
      <c r="CG50" s="175"/>
      <c r="CH50" s="175"/>
      <c r="CI50" s="175"/>
      <c r="CJ50" s="175"/>
      <c r="CK50" s="175"/>
      <c r="CL50" s="175"/>
      <c r="CM50" s="175"/>
      <c r="CN50" s="175"/>
      <c r="CO50" s="175"/>
      <c r="CP50" s="175"/>
      <c r="CQ50" s="175"/>
      <c r="CR50" s="175"/>
      <c r="CS50" s="175"/>
      <c r="CT50" s="175"/>
      <c r="CU50" s="175"/>
      <c r="CV50" s="175"/>
      <c r="CW50" s="175"/>
      <c r="CX50" s="175"/>
      <c r="CY50" s="175"/>
      <c r="CZ50" s="175"/>
      <c r="DA50" s="175"/>
      <c r="DB50" s="175"/>
      <c r="DC50" s="176"/>
    </row>
    <row r="51" spans="1:107" ht="15" customHeight="1" x14ac:dyDescent="0.25">
      <c r="A51" s="25"/>
      <c r="B51" s="169" t="s">
        <v>60</v>
      </c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70"/>
      <c r="BU51" s="171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3"/>
    </row>
    <row r="52" spans="1:107" ht="15" customHeight="1" x14ac:dyDescent="0.25">
      <c r="A52" s="25"/>
      <c r="B52" s="169" t="s">
        <v>61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70"/>
      <c r="BU52" s="171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72"/>
      <c r="CI52" s="172"/>
      <c r="CJ52" s="172"/>
      <c r="CK52" s="172"/>
      <c r="CL52" s="172"/>
      <c r="CM52" s="172"/>
      <c r="CN52" s="172"/>
      <c r="CO52" s="172"/>
      <c r="CP52" s="172"/>
      <c r="CQ52" s="172"/>
      <c r="CR52" s="172"/>
      <c r="CS52" s="172"/>
      <c r="CT52" s="172"/>
      <c r="CU52" s="172"/>
      <c r="CV52" s="172"/>
      <c r="CW52" s="172"/>
      <c r="CX52" s="172"/>
      <c r="CY52" s="172"/>
      <c r="CZ52" s="172"/>
      <c r="DA52" s="172"/>
      <c r="DB52" s="172"/>
      <c r="DC52" s="173"/>
    </row>
    <row r="53" spans="1:107" ht="15" customHeight="1" x14ac:dyDescent="0.25">
      <c r="A53" s="25"/>
      <c r="B53" s="169" t="s">
        <v>59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70"/>
      <c r="BU53" s="171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72"/>
      <c r="CI53" s="172"/>
      <c r="CJ53" s="172"/>
      <c r="CK53" s="172"/>
      <c r="CL53" s="172"/>
      <c r="CM53" s="172"/>
      <c r="CN53" s="172"/>
      <c r="CO53" s="172"/>
      <c r="CP53" s="172"/>
      <c r="CQ53" s="172"/>
      <c r="CR53" s="172"/>
      <c r="CS53" s="172"/>
      <c r="CT53" s="172"/>
      <c r="CU53" s="172"/>
      <c r="CV53" s="172"/>
      <c r="CW53" s="172"/>
      <c r="CX53" s="172"/>
      <c r="CY53" s="172"/>
      <c r="CZ53" s="172"/>
      <c r="DA53" s="172"/>
      <c r="DB53" s="172"/>
      <c r="DC53" s="173"/>
    </row>
    <row r="54" spans="1:107" ht="15" customHeight="1" x14ac:dyDescent="0.25">
      <c r="A54" s="25"/>
      <c r="B54" s="169" t="s">
        <v>62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70"/>
      <c r="BU54" s="171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72"/>
      <c r="CI54" s="172"/>
      <c r="CJ54" s="172"/>
      <c r="CK54" s="172"/>
      <c r="CL54" s="172"/>
      <c r="CM54" s="172"/>
      <c r="CN54" s="172"/>
      <c r="CO54" s="172"/>
      <c r="CP54" s="172"/>
      <c r="CQ54" s="172"/>
      <c r="CR54" s="172"/>
      <c r="CS54" s="172"/>
      <c r="CT54" s="172"/>
      <c r="CU54" s="172"/>
      <c r="CV54" s="172"/>
      <c r="CW54" s="172"/>
      <c r="CX54" s="172"/>
      <c r="CY54" s="172"/>
      <c r="CZ54" s="172"/>
      <c r="DA54" s="172"/>
      <c r="DB54" s="172"/>
      <c r="DC54" s="173"/>
    </row>
    <row r="55" spans="1:107" ht="15" customHeight="1" x14ac:dyDescent="0.25">
      <c r="A55" s="25"/>
      <c r="B55" s="169" t="s">
        <v>63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70"/>
      <c r="BU55" s="171"/>
      <c r="BV55" s="172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72"/>
      <c r="CI55" s="172"/>
      <c r="CJ55" s="172"/>
      <c r="CK55" s="172"/>
      <c r="CL55" s="172"/>
      <c r="CM55" s="172"/>
      <c r="CN55" s="172"/>
      <c r="CO55" s="172"/>
      <c r="CP55" s="172"/>
      <c r="CQ55" s="172"/>
      <c r="CR55" s="172"/>
      <c r="CS55" s="172"/>
      <c r="CT55" s="172"/>
      <c r="CU55" s="172"/>
      <c r="CV55" s="172"/>
      <c r="CW55" s="172"/>
      <c r="CX55" s="172"/>
      <c r="CY55" s="172"/>
      <c r="CZ55" s="172"/>
      <c r="DA55" s="172"/>
      <c r="DB55" s="172"/>
      <c r="DC55" s="173"/>
    </row>
    <row r="56" spans="1:107" ht="15" customHeight="1" x14ac:dyDescent="0.25">
      <c r="A56" s="25"/>
      <c r="B56" s="169" t="s">
        <v>64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70"/>
      <c r="BU56" s="171"/>
      <c r="BV56" s="172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72"/>
      <c r="CI56" s="172"/>
      <c r="CJ56" s="172"/>
      <c r="CK56" s="172"/>
      <c r="CL56" s="172"/>
      <c r="CM56" s="172"/>
      <c r="CN56" s="172"/>
      <c r="CO56" s="172"/>
      <c r="CP56" s="172"/>
      <c r="CQ56" s="172"/>
      <c r="CR56" s="172"/>
      <c r="CS56" s="172"/>
      <c r="CT56" s="172"/>
      <c r="CU56" s="172"/>
      <c r="CV56" s="172"/>
      <c r="CW56" s="172"/>
      <c r="CX56" s="172"/>
      <c r="CY56" s="172"/>
      <c r="CZ56" s="172"/>
      <c r="DA56" s="172"/>
      <c r="DB56" s="172"/>
      <c r="DC56" s="173"/>
    </row>
    <row r="57" spans="1:107" ht="25.5" customHeight="1" x14ac:dyDescent="0.25">
      <c r="A57" s="25"/>
      <c r="B57" s="177" t="s">
        <v>66</v>
      </c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8"/>
      <c r="BU57" s="171"/>
      <c r="BV57" s="172"/>
      <c r="BW57" s="172"/>
      <c r="BX57" s="172"/>
      <c r="BY57" s="172"/>
      <c r="BZ57" s="172"/>
      <c r="CA57" s="172"/>
      <c r="CB57" s="172"/>
      <c r="CC57" s="172"/>
      <c r="CD57" s="172"/>
      <c r="CE57" s="172"/>
      <c r="CF57" s="172"/>
      <c r="CG57" s="172"/>
      <c r="CH57" s="172"/>
      <c r="CI57" s="172"/>
      <c r="CJ57" s="172"/>
      <c r="CK57" s="172"/>
      <c r="CL57" s="172"/>
      <c r="CM57" s="172"/>
      <c r="CN57" s="172"/>
      <c r="CO57" s="172"/>
      <c r="CP57" s="172"/>
      <c r="CQ57" s="172"/>
      <c r="CR57" s="172"/>
      <c r="CS57" s="172"/>
      <c r="CT57" s="172"/>
      <c r="CU57" s="172"/>
      <c r="CV57" s="172"/>
      <c r="CW57" s="172"/>
      <c r="CX57" s="172"/>
      <c r="CY57" s="172"/>
      <c r="CZ57" s="172"/>
      <c r="DA57" s="172"/>
      <c r="DB57" s="172"/>
      <c r="DC57" s="173"/>
    </row>
    <row r="58" spans="1:107" ht="15" customHeight="1" x14ac:dyDescent="0.25">
      <c r="A58" s="30"/>
      <c r="B58" s="203" t="s">
        <v>4</v>
      </c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03"/>
      <c r="BP58" s="203"/>
      <c r="BQ58" s="203"/>
      <c r="BR58" s="203"/>
      <c r="BS58" s="203"/>
      <c r="BT58" s="204"/>
      <c r="BU58" s="174"/>
      <c r="BV58" s="175"/>
      <c r="BW58" s="175"/>
      <c r="BX58" s="175"/>
      <c r="BY58" s="175"/>
      <c r="BZ58" s="175"/>
      <c r="CA58" s="175"/>
      <c r="CB58" s="175"/>
      <c r="CC58" s="175"/>
      <c r="CD58" s="175"/>
      <c r="CE58" s="175"/>
      <c r="CF58" s="175"/>
      <c r="CG58" s="175"/>
      <c r="CH58" s="175"/>
      <c r="CI58" s="175"/>
      <c r="CJ58" s="175"/>
      <c r="CK58" s="175"/>
      <c r="CL58" s="175"/>
      <c r="CM58" s="175"/>
      <c r="CN58" s="175"/>
      <c r="CO58" s="175"/>
      <c r="CP58" s="175"/>
      <c r="CQ58" s="175"/>
      <c r="CR58" s="175"/>
      <c r="CS58" s="175"/>
      <c r="CT58" s="175"/>
      <c r="CU58" s="175"/>
      <c r="CV58" s="175"/>
      <c r="CW58" s="175"/>
      <c r="CX58" s="175"/>
      <c r="CY58" s="175"/>
      <c r="CZ58" s="175"/>
      <c r="DA58" s="175"/>
      <c r="DB58" s="175"/>
      <c r="DC58" s="176"/>
    </row>
    <row r="59" spans="1:107" ht="15" customHeight="1" x14ac:dyDescent="0.25">
      <c r="A59" s="25"/>
      <c r="B59" s="169" t="s">
        <v>60</v>
      </c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70"/>
      <c r="BU59" s="171"/>
      <c r="BV59" s="172"/>
      <c r="BW59" s="172"/>
      <c r="BX59" s="172"/>
      <c r="BY59" s="172"/>
      <c r="BZ59" s="172"/>
      <c r="CA59" s="172"/>
      <c r="CB59" s="172"/>
      <c r="CC59" s="172"/>
      <c r="CD59" s="172"/>
      <c r="CE59" s="172"/>
      <c r="CF59" s="172"/>
      <c r="CG59" s="172"/>
      <c r="CH59" s="172"/>
      <c r="CI59" s="172"/>
      <c r="CJ59" s="172"/>
      <c r="CK59" s="172"/>
      <c r="CL59" s="172"/>
      <c r="CM59" s="172"/>
      <c r="CN59" s="172"/>
      <c r="CO59" s="172"/>
      <c r="CP59" s="172"/>
      <c r="CQ59" s="172"/>
      <c r="CR59" s="172"/>
      <c r="CS59" s="172"/>
      <c r="CT59" s="172"/>
      <c r="CU59" s="172"/>
      <c r="CV59" s="172"/>
      <c r="CW59" s="172"/>
      <c r="CX59" s="172"/>
      <c r="CY59" s="172"/>
      <c r="CZ59" s="172"/>
      <c r="DA59" s="172"/>
      <c r="DB59" s="172"/>
      <c r="DC59" s="173"/>
    </row>
    <row r="60" spans="1:107" ht="15" customHeight="1" x14ac:dyDescent="0.25">
      <c r="A60" s="25"/>
      <c r="B60" s="169" t="s">
        <v>61</v>
      </c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70"/>
      <c r="BU60" s="171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3"/>
    </row>
    <row r="61" spans="1:107" ht="15" customHeight="1" x14ac:dyDescent="0.25">
      <c r="A61" s="25"/>
      <c r="B61" s="169" t="s">
        <v>59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70"/>
      <c r="BU61" s="171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3"/>
    </row>
    <row r="62" spans="1:107" ht="15" customHeight="1" x14ac:dyDescent="0.25">
      <c r="A62" s="25"/>
      <c r="B62" s="169" t="s">
        <v>62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70"/>
      <c r="BU62" s="171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  <c r="CT62" s="172"/>
      <c r="CU62" s="172"/>
      <c r="CV62" s="172"/>
      <c r="CW62" s="172"/>
      <c r="CX62" s="172"/>
      <c r="CY62" s="172"/>
      <c r="CZ62" s="172"/>
      <c r="DA62" s="172"/>
      <c r="DB62" s="172"/>
      <c r="DC62" s="173"/>
    </row>
    <row r="63" spans="1:107" ht="15" customHeight="1" x14ac:dyDescent="0.25">
      <c r="A63" s="25"/>
      <c r="B63" s="169" t="s">
        <v>63</v>
      </c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70"/>
      <c r="BU63" s="171"/>
      <c r="BV63" s="172"/>
      <c r="BW63" s="172"/>
      <c r="BX63" s="172"/>
      <c r="BY63" s="172"/>
      <c r="BZ63" s="172"/>
      <c r="CA63" s="172"/>
      <c r="CB63" s="172"/>
      <c r="CC63" s="172"/>
      <c r="CD63" s="172"/>
      <c r="CE63" s="172"/>
      <c r="CF63" s="172"/>
      <c r="CG63" s="172"/>
      <c r="CH63" s="172"/>
      <c r="CI63" s="172"/>
      <c r="CJ63" s="172"/>
      <c r="CK63" s="172"/>
      <c r="CL63" s="172"/>
      <c r="CM63" s="172"/>
      <c r="CN63" s="172"/>
      <c r="CO63" s="172"/>
      <c r="CP63" s="172"/>
      <c r="CQ63" s="172"/>
      <c r="CR63" s="172"/>
      <c r="CS63" s="172"/>
      <c r="CT63" s="172"/>
      <c r="CU63" s="172"/>
      <c r="CV63" s="172"/>
      <c r="CW63" s="172"/>
      <c r="CX63" s="172"/>
      <c r="CY63" s="172"/>
      <c r="CZ63" s="172"/>
      <c r="DA63" s="172"/>
      <c r="DB63" s="172"/>
      <c r="DC63" s="173"/>
    </row>
    <row r="64" spans="1:107" ht="15" customHeight="1" x14ac:dyDescent="0.25">
      <c r="A64" s="25"/>
      <c r="B64" s="169" t="s">
        <v>64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70"/>
      <c r="BU64" s="171"/>
      <c r="BV64" s="172"/>
      <c r="BW64" s="172"/>
      <c r="BX64" s="172"/>
      <c r="BY64" s="172"/>
      <c r="BZ64" s="172"/>
      <c r="CA64" s="172"/>
      <c r="CB64" s="172"/>
      <c r="CC64" s="172"/>
      <c r="CD64" s="172"/>
      <c r="CE64" s="172"/>
      <c r="CF64" s="172"/>
      <c r="CG64" s="172"/>
      <c r="CH64" s="172"/>
      <c r="CI64" s="172"/>
      <c r="CJ64" s="172"/>
      <c r="CK64" s="172"/>
      <c r="CL64" s="172"/>
      <c r="CM64" s="172"/>
      <c r="CN64" s="172"/>
      <c r="CO64" s="172"/>
      <c r="CP64" s="172"/>
      <c r="CQ64" s="172"/>
      <c r="CR64" s="172"/>
      <c r="CS64" s="172"/>
      <c r="CT64" s="172"/>
      <c r="CU64" s="172"/>
      <c r="CV64" s="172"/>
      <c r="CW64" s="172"/>
      <c r="CX64" s="172"/>
      <c r="CY64" s="172"/>
      <c r="CZ64" s="172"/>
      <c r="DA64" s="172"/>
      <c r="DB64" s="172"/>
      <c r="DC64" s="173"/>
    </row>
    <row r="65" spans="1:107" ht="15" customHeight="1" x14ac:dyDescent="0.25">
      <c r="A65" s="25"/>
      <c r="B65" s="177" t="s">
        <v>67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  <c r="BS65" s="177"/>
      <c r="BT65" s="178"/>
      <c r="BU65" s="171"/>
      <c r="BV65" s="172"/>
      <c r="BW65" s="172"/>
      <c r="BX65" s="172"/>
      <c r="BY65" s="172"/>
      <c r="BZ65" s="172"/>
      <c r="CA65" s="172"/>
      <c r="CB65" s="172"/>
      <c r="CC65" s="172"/>
      <c r="CD65" s="172"/>
      <c r="CE65" s="172"/>
      <c r="CF65" s="172"/>
      <c r="CG65" s="172"/>
      <c r="CH65" s="172"/>
      <c r="CI65" s="172"/>
      <c r="CJ65" s="172"/>
      <c r="CK65" s="172"/>
      <c r="CL65" s="172"/>
      <c r="CM65" s="172"/>
      <c r="CN65" s="172"/>
      <c r="CO65" s="172"/>
      <c r="CP65" s="172"/>
      <c r="CQ65" s="172"/>
      <c r="CR65" s="172"/>
      <c r="CS65" s="172"/>
      <c r="CT65" s="172"/>
      <c r="CU65" s="172"/>
      <c r="CV65" s="172"/>
      <c r="CW65" s="172"/>
      <c r="CX65" s="172"/>
      <c r="CY65" s="172"/>
      <c r="CZ65" s="172"/>
      <c r="DA65" s="172"/>
      <c r="DB65" s="172"/>
      <c r="DC65" s="173"/>
    </row>
    <row r="66" spans="1:107" ht="15" customHeight="1" x14ac:dyDescent="0.25">
      <c r="A66" s="25"/>
      <c r="B66" s="203" t="s">
        <v>4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4"/>
      <c r="BU66" s="171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3"/>
    </row>
    <row r="67" spans="1:107" ht="15" customHeight="1" x14ac:dyDescent="0.25">
      <c r="A67" s="30"/>
      <c r="B67" s="169" t="s">
        <v>60</v>
      </c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70"/>
      <c r="BU67" s="171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3"/>
    </row>
    <row r="68" spans="1:107" ht="15" customHeight="1" x14ac:dyDescent="0.25">
      <c r="A68" s="25"/>
      <c r="B68" s="169" t="s">
        <v>61</v>
      </c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70"/>
      <c r="BU68" s="171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3"/>
    </row>
    <row r="69" spans="1:107" ht="15" customHeight="1" x14ac:dyDescent="0.25">
      <c r="A69" s="25"/>
      <c r="B69" s="169" t="s">
        <v>59</v>
      </c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70"/>
      <c r="BU69" s="171"/>
      <c r="BV69" s="172"/>
      <c r="BW69" s="172"/>
      <c r="BX69" s="172"/>
      <c r="BY69" s="172"/>
      <c r="BZ69" s="172"/>
      <c r="CA69" s="172"/>
      <c r="CB69" s="172"/>
      <c r="CC69" s="172"/>
      <c r="CD69" s="172"/>
      <c r="CE69" s="172"/>
      <c r="CF69" s="172"/>
      <c r="CG69" s="172"/>
      <c r="CH69" s="172"/>
      <c r="CI69" s="172"/>
      <c r="CJ69" s="172"/>
      <c r="CK69" s="172"/>
      <c r="CL69" s="172"/>
      <c r="CM69" s="172"/>
      <c r="CN69" s="172"/>
      <c r="CO69" s="172"/>
      <c r="CP69" s="172"/>
      <c r="CQ69" s="172"/>
      <c r="CR69" s="172"/>
      <c r="CS69" s="172"/>
      <c r="CT69" s="172"/>
      <c r="CU69" s="172"/>
      <c r="CV69" s="172"/>
      <c r="CW69" s="172"/>
      <c r="CX69" s="172"/>
      <c r="CY69" s="172"/>
      <c r="CZ69" s="172"/>
      <c r="DA69" s="172"/>
      <c r="DB69" s="172"/>
      <c r="DC69" s="173"/>
    </row>
    <row r="70" spans="1:107" ht="14.25" customHeight="1" x14ac:dyDescent="0.25">
      <c r="A70" s="25"/>
      <c r="B70" s="169" t="s">
        <v>62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70"/>
      <c r="BU70" s="171"/>
      <c r="BV70" s="172"/>
      <c r="BW70" s="172"/>
      <c r="BX70" s="172"/>
      <c r="BY70" s="172"/>
      <c r="BZ70" s="172"/>
      <c r="CA70" s="172"/>
      <c r="CB70" s="172"/>
      <c r="CC70" s="172"/>
      <c r="CD70" s="172"/>
      <c r="CE70" s="172"/>
      <c r="CF70" s="172"/>
      <c r="CG70" s="172"/>
      <c r="CH70" s="172"/>
      <c r="CI70" s="172"/>
      <c r="CJ70" s="172"/>
      <c r="CK70" s="172"/>
      <c r="CL70" s="172"/>
      <c r="CM70" s="172"/>
      <c r="CN70" s="172"/>
      <c r="CO70" s="172"/>
      <c r="CP70" s="172"/>
      <c r="CQ70" s="172"/>
      <c r="CR70" s="172"/>
      <c r="CS70" s="172"/>
      <c r="CT70" s="172"/>
      <c r="CU70" s="172"/>
      <c r="CV70" s="172"/>
      <c r="CW70" s="172"/>
      <c r="CX70" s="172"/>
      <c r="CY70" s="172"/>
      <c r="CZ70" s="172"/>
      <c r="DA70" s="172"/>
      <c r="DB70" s="172"/>
      <c r="DC70" s="173"/>
    </row>
    <row r="71" spans="1:107" ht="15" customHeight="1" x14ac:dyDescent="0.25">
      <c r="A71" s="31"/>
      <c r="B71" s="169" t="s">
        <v>63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70"/>
      <c r="BU71" s="171"/>
      <c r="BV71" s="172"/>
      <c r="BW71" s="172"/>
      <c r="BX71" s="172"/>
      <c r="BY71" s="172"/>
      <c r="BZ71" s="172"/>
      <c r="CA71" s="172"/>
      <c r="CB71" s="172"/>
      <c r="CC71" s="172"/>
      <c r="CD71" s="172"/>
      <c r="CE71" s="172"/>
      <c r="CF71" s="172"/>
      <c r="CG71" s="172"/>
      <c r="CH71" s="172"/>
      <c r="CI71" s="172"/>
      <c r="CJ71" s="172"/>
      <c r="CK71" s="172"/>
      <c r="CL71" s="172"/>
      <c r="CM71" s="172"/>
      <c r="CN71" s="172"/>
      <c r="CO71" s="172"/>
      <c r="CP71" s="172"/>
      <c r="CQ71" s="172"/>
      <c r="CR71" s="172"/>
      <c r="CS71" s="172"/>
      <c r="CT71" s="172"/>
      <c r="CU71" s="172"/>
      <c r="CV71" s="172"/>
      <c r="CW71" s="172"/>
      <c r="CX71" s="172"/>
      <c r="CY71" s="172"/>
      <c r="CZ71" s="172"/>
      <c r="DA71" s="172"/>
      <c r="DB71" s="172"/>
      <c r="DC71" s="173"/>
    </row>
    <row r="72" spans="1:107" ht="15" customHeight="1" x14ac:dyDescent="0.25">
      <c r="A72" s="25"/>
      <c r="B72" s="169" t="s">
        <v>64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70"/>
      <c r="BU72" s="171"/>
      <c r="BV72" s="172"/>
      <c r="BW72" s="172"/>
      <c r="BX72" s="172"/>
      <c r="BY72" s="172"/>
      <c r="BZ72" s="172"/>
      <c r="CA72" s="172"/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72"/>
      <c r="CM72" s="172"/>
      <c r="CN72" s="172"/>
      <c r="CO72" s="172"/>
      <c r="CP72" s="172"/>
      <c r="CQ72" s="172"/>
      <c r="CR72" s="172"/>
      <c r="CS72" s="172"/>
      <c r="CT72" s="172"/>
      <c r="CU72" s="172"/>
      <c r="CV72" s="172"/>
      <c r="CW72" s="172"/>
      <c r="CX72" s="172"/>
      <c r="CY72" s="172"/>
      <c r="CZ72" s="172"/>
      <c r="DA72" s="172"/>
      <c r="DB72" s="172"/>
      <c r="DC72" s="173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view="pageBreakPreview" topLeftCell="A44" zoomScale="90" zoomScaleNormal="100" zoomScaleSheetLayoutView="90" workbookViewId="0">
      <selection activeCell="I62" sqref="I62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6" width="17" style="7" customWidth="1"/>
    <col min="7" max="7" width="18.5546875" style="7" customWidth="1"/>
    <col min="8" max="8" width="14.44140625" style="7" customWidth="1"/>
    <col min="9" max="9" width="13.44140625" style="7" customWidth="1"/>
    <col min="10" max="10" width="10.33203125" style="7" customWidth="1"/>
    <col min="11" max="11" width="13.44140625" style="7" customWidth="1"/>
    <col min="12" max="12" width="21.88671875" style="7" customWidth="1"/>
    <col min="13" max="13" width="15.5546875" style="7" customWidth="1"/>
    <col min="14" max="14" width="13.44140625" style="7" bestFit="1" customWidth="1"/>
    <col min="15" max="15" width="10.33203125" style="7" customWidth="1"/>
    <col min="16" max="16384" width="9.109375" style="7"/>
  </cols>
  <sheetData>
    <row r="1" spans="1:14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86"/>
    </row>
    <row r="2" spans="1:14" ht="18.75" customHeight="1" x14ac:dyDescent="0.3">
      <c r="A2" s="208" t="s">
        <v>223</v>
      </c>
      <c r="B2" s="208"/>
      <c r="C2" s="208"/>
      <c r="D2" s="208"/>
      <c r="E2" s="208"/>
      <c r="F2" s="208"/>
      <c r="G2" s="208"/>
      <c r="H2" s="208"/>
      <c r="I2" s="208"/>
      <c r="J2" s="208"/>
      <c r="K2" s="87"/>
    </row>
    <row r="3" spans="1:14" ht="3.75" customHeight="1" x14ac:dyDescent="0.3">
      <c r="A3" s="9"/>
      <c r="B3" s="9"/>
      <c r="C3" s="9"/>
      <c r="D3" s="9"/>
      <c r="E3" s="9"/>
      <c r="F3" s="155"/>
      <c r="G3" s="9"/>
      <c r="H3" s="9"/>
      <c r="I3" s="9"/>
      <c r="J3" s="9"/>
      <c r="K3" s="89"/>
    </row>
    <row r="4" spans="1:14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212"/>
      <c r="K4" s="90"/>
    </row>
    <row r="5" spans="1:14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214"/>
      <c r="K5" s="91"/>
    </row>
    <row r="6" spans="1:14" ht="63.75" customHeight="1" x14ac:dyDescent="0.3">
      <c r="A6" s="212"/>
      <c r="B6" s="212"/>
      <c r="C6" s="212"/>
      <c r="D6" s="213"/>
      <c r="E6" s="212" t="s">
        <v>214</v>
      </c>
      <c r="F6" s="212" t="s">
        <v>213</v>
      </c>
      <c r="G6" s="212" t="s">
        <v>75</v>
      </c>
      <c r="H6" s="212" t="s">
        <v>76</v>
      </c>
      <c r="I6" s="210" t="s">
        <v>77</v>
      </c>
      <c r="J6" s="211"/>
      <c r="K6" s="90"/>
    </row>
    <row r="7" spans="1:14" ht="85.5" customHeight="1" x14ac:dyDescent="0.3">
      <c r="A7" s="212"/>
      <c r="B7" s="212"/>
      <c r="C7" s="212"/>
      <c r="D7" s="213"/>
      <c r="E7" s="212"/>
      <c r="F7" s="212"/>
      <c r="G7" s="212"/>
      <c r="H7" s="212"/>
      <c r="I7" s="10" t="s">
        <v>3</v>
      </c>
      <c r="J7" s="11" t="s">
        <v>5</v>
      </c>
      <c r="K7" s="90"/>
    </row>
    <row r="8" spans="1:14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215</v>
      </c>
      <c r="G8" s="35">
        <v>6</v>
      </c>
      <c r="H8" s="35">
        <v>7</v>
      </c>
      <c r="I8" s="35">
        <v>8</v>
      </c>
      <c r="J8" s="35">
        <v>9</v>
      </c>
      <c r="K8" s="92"/>
    </row>
    <row r="9" spans="1:14" x14ac:dyDescent="0.3">
      <c r="A9" s="57" t="s">
        <v>6</v>
      </c>
      <c r="B9" s="58">
        <v>100</v>
      </c>
      <c r="C9" s="58" t="s">
        <v>7</v>
      </c>
      <c r="D9" s="62">
        <f>D12+D20+D24+D18+D11+D21</f>
        <v>299065148</v>
      </c>
      <c r="E9" s="62">
        <f>E12</f>
        <v>262294300</v>
      </c>
      <c r="F9" s="62"/>
      <c r="G9" s="62">
        <f>G20</f>
        <v>5020086</v>
      </c>
      <c r="H9" s="62"/>
      <c r="I9" s="62">
        <f>I11+I12+I18+I19+I21+I24</f>
        <v>31750762</v>
      </c>
      <c r="J9" s="62"/>
      <c r="K9" s="93">
        <f>E9+G9+I9-D9</f>
        <v>0</v>
      </c>
      <c r="L9" s="80">
        <f>D9+D77</f>
        <v>306832844.85000002</v>
      </c>
      <c r="M9" s="80">
        <f>L9-D28</f>
        <v>0</v>
      </c>
    </row>
    <row r="10" spans="1:14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35"/>
      <c r="I10" s="61"/>
      <c r="J10" s="35"/>
      <c r="K10" s="92"/>
    </row>
    <row r="11" spans="1:14" x14ac:dyDescent="0.3">
      <c r="A11" s="54" t="s">
        <v>70</v>
      </c>
      <c r="B11" s="55">
        <v>110</v>
      </c>
      <c r="C11" s="55">
        <v>120</v>
      </c>
      <c r="D11" s="133">
        <f>I11</f>
        <v>239312</v>
      </c>
      <c r="E11" s="55" t="s">
        <v>7</v>
      </c>
      <c r="F11" s="55" t="s">
        <v>7</v>
      </c>
      <c r="G11" s="55" t="s">
        <v>7</v>
      </c>
      <c r="H11" s="55" t="s">
        <v>7</v>
      </c>
      <c r="I11" s="63">
        <v>239312</v>
      </c>
      <c r="J11" s="55" t="s">
        <v>7</v>
      </c>
      <c r="K11" s="94"/>
    </row>
    <row r="12" spans="1:14" x14ac:dyDescent="0.3">
      <c r="A12" s="54" t="s">
        <v>156</v>
      </c>
      <c r="B12" s="55">
        <v>120</v>
      </c>
      <c r="C12" s="55">
        <v>130</v>
      </c>
      <c r="D12" s="133">
        <f>E12+I12</f>
        <v>293559300</v>
      </c>
      <c r="E12" s="63">
        <f>E14+E15</f>
        <v>262294300</v>
      </c>
      <c r="F12" s="63"/>
      <c r="G12" s="55" t="s">
        <v>7</v>
      </c>
      <c r="H12" s="55" t="s">
        <v>7</v>
      </c>
      <c r="I12" s="63">
        <f>I14</f>
        <v>31265000</v>
      </c>
      <c r="J12" s="55"/>
      <c r="K12" s="143" t="s">
        <v>208</v>
      </c>
      <c r="L12" s="80">
        <f>E12+E77</f>
        <v>263924598.40000001</v>
      </c>
      <c r="M12" s="80">
        <f>L12-E28</f>
        <v>0</v>
      </c>
      <c r="N12" s="80"/>
    </row>
    <row r="13" spans="1:14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34"/>
      <c r="I13" s="64"/>
      <c r="J13" s="34"/>
      <c r="K13" s="144"/>
      <c r="L13" s="80"/>
    </row>
    <row r="14" spans="1:14" s="22" customFormat="1" x14ac:dyDescent="0.3">
      <c r="A14" s="163" t="s">
        <v>218</v>
      </c>
      <c r="B14" s="33">
        <v>1201</v>
      </c>
      <c r="C14" s="34">
        <v>130</v>
      </c>
      <c r="D14" s="135">
        <f>E14+I14</f>
        <v>287361200</v>
      </c>
      <c r="E14" s="64">
        <f>256255800-6198100+6038500</f>
        <v>256096200</v>
      </c>
      <c r="F14" s="64"/>
      <c r="G14" s="34" t="s">
        <v>7</v>
      </c>
      <c r="H14" s="34" t="s">
        <v>7</v>
      </c>
      <c r="I14" s="64">
        <v>31265000</v>
      </c>
      <c r="J14" s="102">
        <v>0</v>
      </c>
      <c r="K14" s="144" t="s">
        <v>209</v>
      </c>
      <c r="L14" s="80">
        <f>I9+I77</f>
        <v>37888160.450000003</v>
      </c>
      <c r="M14" s="83">
        <f>L14-I28</f>
        <v>0</v>
      </c>
    </row>
    <row r="15" spans="1:14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6198100</v>
      </c>
      <c r="E15" s="124">
        <f>5530859+672046+5812-10617</f>
        <v>6198100</v>
      </c>
      <c r="F15" s="124"/>
      <c r="G15" s="35" t="s">
        <v>7</v>
      </c>
      <c r="H15" s="35" t="s">
        <v>7</v>
      </c>
      <c r="I15" s="35" t="s">
        <v>7</v>
      </c>
      <c r="J15" s="35"/>
    </row>
    <row r="16" spans="1:14" ht="52.5" customHeight="1" x14ac:dyDescent="0.3">
      <c r="A16" s="118" t="s">
        <v>199</v>
      </c>
      <c r="B16" s="35">
        <v>1203</v>
      </c>
      <c r="C16" s="35"/>
      <c r="D16" s="136"/>
      <c r="E16" s="35"/>
      <c r="F16" s="35"/>
      <c r="G16" s="35" t="s">
        <v>7</v>
      </c>
      <c r="H16" s="35" t="s">
        <v>7</v>
      </c>
      <c r="I16" s="35" t="s">
        <v>7</v>
      </c>
      <c r="J16" s="35"/>
    </row>
    <row r="17" spans="1:15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 t="s">
        <v>7</v>
      </c>
      <c r="I17" s="35"/>
      <c r="J17" s="35" t="s">
        <v>7</v>
      </c>
    </row>
    <row r="18" spans="1:15" ht="26.4" x14ac:dyDescent="0.3">
      <c r="A18" s="56" t="s">
        <v>71</v>
      </c>
      <c r="B18" s="55">
        <v>130</v>
      </c>
      <c r="C18" s="55">
        <v>140</v>
      </c>
      <c r="D18" s="133">
        <f>I18</f>
        <v>136450</v>
      </c>
      <c r="E18" s="55" t="s">
        <v>7</v>
      </c>
      <c r="F18" s="55" t="s">
        <v>7</v>
      </c>
      <c r="G18" s="55" t="s">
        <v>7</v>
      </c>
      <c r="H18" s="55" t="s">
        <v>7</v>
      </c>
      <c r="I18" s="63">
        <v>136450</v>
      </c>
      <c r="J18" s="55" t="s">
        <v>7</v>
      </c>
      <c r="K18" s="94"/>
    </row>
    <row r="19" spans="1:15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  <c r="K19" s="94"/>
    </row>
    <row r="20" spans="1:15" x14ac:dyDescent="0.3">
      <c r="A20" s="54" t="s">
        <v>73</v>
      </c>
      <c r="B20" s="55">
        <v>150</v>
      </c>
      <c r="C20" s="55">
        <v>180</v>
      </c>
      <c r="D20" s="139">
        <f>G20+H20</f>
        <v>5020086</v>
      </c>
      <c r="E20" s="55" t="s">
        <v>7</v>
      </c>
      <c r="F20" s="55" t="s">
        <v>7</v>
      </c>
      <c r="G20" s="63">
        <f>5070000+69000-660+100000-218254</f>
        <v>5020086</v>
      </c>
      <c r="H20" s="115">
        <v>0</v>
      </c>
      <c r="I20" s="63" t="s">
        <v>7</v>
      </c>
      <c r="J20" s="55" t="s">
        <v>7</v>
      </c>
      <c r="K20" s="143" t="s">
        <v>247</v>
      </c>
      <c r="L20" s="80">
        <f>G9+G77</f>
        <v>5020086</v>
      </c>
      <c r="M20" s="80">
        <f>L20-G28</f>
        <v>0</v>
      </c>
    </row>
    <row r="21" spans="1:15" x14ac:dyDescent="0.3">
      <c r="A21" s="54" t="s">
        <v>74</v>
      </c>
      <c r="B21" s="55">
        <v>160</v>
      </c>
      <c r="C21" s="55">
        <v>180</v>
      </c>
      <c r="D21" s="133">
        <f>I21</f>
        <v>60000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60000</v>
      </c>
      <c r="J21" s="55"/>
      <c r="K21" s="94"/>
    </row>
    <row r="22" spans="1:15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115"/>
      <c r="G22" s="55" t="s">
        <v>7</v>
      </c>
      <c r="H22" s="55" t="s">
        <v>7</v>
      </c>
      <c r="I22" s="55" t="s">
        <v>7</v>
      </c>
      <c r="J22" s="55" t="s">
        <v>7</v>
      </c>
    </row>
    <row r="23" spans="1:15" ht="125.25" customHeight="1" x14ac:dyDescent="0.3">
      <c r="A23" s="127" t="s">
        <v>197</v>
      </c>
      <c r="B23" s="55">
        <v>170</v>
      </c>
      <c r="C23" s="55"/>
      <c r="D23" s="140"/>
      <c r="E23" s="115"/>
      <c r="F23" s="115"/>
      <c r="G23" s="55" t="s">
        <v>7</v>
      </c>
      <c r="H23" s="55" t="s">
        <v>7</v>
      </c>
      <c r="I23" s="55" t="s">
        <v>7</v>
      </c>
      <c r="J23" s="55" t="s">
        <v>7</v>
      </c>
    </row>
    <row r="24" spans="1:15" x14ac:dyDescent="0.3">
      <c r="A24" s="54" t="s">
        <v>78</v>
      </c>
      <c r="B24" s="55">
        <v>180</v>
      </c>
      <c r="C24" s="55" t="s">
        <v>7</v>
      </c>
      <c r="D24" s="133">
        <f>D26+D27</f>
        <v>50000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50000</v>
      </c>
      <c r="J24" s="55" t="s">
        <v>7</v>
      </c>
      <c r="K24" s="94"/>
    </row>
    <row r="25" spans="1:15" s="22" customFormat="1" ht="14.25" customHeight="1" x14ac:dyDescent="0.3">
      <c r="A25" s="36" t="s">
        <v>4</v>
      </c>
      <c r="B25" s="34"/>
      <c r="C25" s="34"/>
      <c r="D25" s="134"/>
      <c r="E25" s="34"/>
      <c r="F25" s="34"/>
      <c r="G25" s="34"/>
      <c r="H25" s="34"/>
      <c r="I25" s="64"/>
      <c r="J25" s="34"/>
      <c r="K25" s="95"/>
      <c r="L25" s="7"/>
    </row>
    <row r="26" spans="1:15" s="22" customFormat="1" ht="26.4" x14ac:dyDescent="0.3">
      <c r="A26" s="32" t="s">
        <v>190</v>
      </c>
      <c r="B26" s="33">
        <v>1801</v>
      </c>
      <c r="C26" s="34" t="s">
        <v>7</v>
      </c>
      <c r="D26" s="135">
        <f>I26</f>
        <v>50000</v>
      </c>
      <c r="E26" s="34" t="s">
        <v>7</v>
      </c>
      <c r="F26" s="34" t="s">
        <v>7</v>
      </c>
      <c r="G26" s="34" t="s">
        <v>7</v>
      </c>
      <c r="H26" s="34" t="s">
        <v>7</v>
      </c>
      <c r="I26" s="125">
        <v>50000</v>
      </c>
      <c r="J26" s="34" t="s">
        <v>7</v>
      </c>
      <c r="K26" s="95"/>
      <c r="L26" s="7"/>
    </row>
    <row r="27" spans="1:15" s="22" customFormat="1" x14ac:dyDescent="0.3">
      <c r="A27" s="32"/>
      <c r="B27" s="33">
        <v>1802</v>
      </c>
      <c r="C27" s="34" t="s">
        <v>7</v>
      </c>
      <c r="D27" s="164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  <c r="K27" s="95"/>
      <c r="L27" s="7"/>
    </row>
    <row r="28" spans="1:15" x14ac:dyDescent="0.3">
      <c r="A28" s="108" t="s">
        <v>69</v>
      </c>
      <c r="B28" s="109">
        <v>200</v>
      </c>
      <c r="C28" s="109" t="s">
        <v>7</v>
      </c>
      <c r="D28" s="141">
        <f>D30+D35+D39+D45+D48</f>
        <v>306832844.85000002</v>
      </c>
      <c r="E28" s="110">
        <f>E30+E35+E39+E45+E48</f>
        <v>263924598.40000001</v>
      </c>
      <c r="F28" s="110"/>
      <c r="G28" s="110">
        <f>G30+G35+G39+G48</f>
        <v>5020086</v>
      </c>
      <c r="H28" s="110">
        <f t="shared" ref="H28" si="0">H30+H39+H48</f>
        <v>0</v>
      </c>
      <c r="I28" s="110">
        <f>I30+I39+I46+I48</f>
        <v>37888160.450000003</v>
      </c>
      <c r="J28" s="116">
        <v>0</v>
      </c>
      <c r="K28" s="96"/>
      <c r="L28" s="80"/>
      <c r="M28" s="80"/>
      <c r="N28" s="80"/>
      <c r="O28" s="80"/>
    </row>
    <row r="29" spans="1:15" ht="14.25" customHeight="1" x14ac:dyDescent="0.3">
      <c r="A29" s="19" t="s">
        <v>79</v>
      </c>
      <c r="B29" s="35"/>
      <c r="C29" s="61"/>
      <c r="D29" s="131"/>
      <c r="E29" s="61"/>
      <c r="F29" s="61"/>
      <c r="G29" s="61"/>
      <c r="H29" s="61"/>
      <c r="I29" s="61"/>
      <c r="J29" s="61"/>
      <c r="K29" s="97"/>
    </row>
    <row r="30" spans="1:15" x14ac:dyDescent="0.3">
      <c r="A30" s="54" t="s">
        <v>80</v>
      </c>
      <c r="B30" s="55">
        <v>210</v>
      </c>
      <c r="C30" s="74">
        <v>100</v>
      </c>
      <c r="D30" s="160">
        <f>D32+D33+D34</f>
        <v>232658152</v>
      </c>
      <c r="E30" s="133">
        <f>SUM(E32:E34)</f>
        <v>229377512</v>
      </c>
      <c r="F30" s="133"/>
      <c r="G30" s="133">
        <f>SUM(G32:G34)</f>
        <v>2800000</v>
      </c>
      <c r="H30" s="133">
        <f t="shared" ref="H30:J30" si="1">SUM(H32:H34)</f>
        <v>0</v>
      </c>
      <c r="I30" s="133">
        <f t="shared" si="1"/>
        <v>480640</v>
      </c>
      <c r="J30" s="133">
        <f t="shared" si="1"/>
        <v>0</v>
      </c>
      <c r="K30" s="98"/>
      <c r="L30" s="80"/>
    </row>
    <row r="31" spans="1:15" ht="14.25" customHeight="1" x14ac:dyDescent="0.3">
      <c r="A31" s="19" t="s">
        <v>8</v>
      </c>
      <c r="B31" s="35"/>
      <c r="C31" s="61"/>
      <c r="D31" s="131"/>
      <c r="E31" s="61"/>
      <c r="F31" s="61"/>
      <c r="G31" s="61"/>
      <c r="H31" s="61"/>
      <c r="I31" s="61"/>
      <c r="J31" s="61"/>
      <c r="K31" s="97"/>
      <c r="L31" s="80"/>
    </row>
    <row r="32" spans="1:15" x14ac:dyDescent="0.3">
      <c r="A32" s="20" t="s">
        <v>157</v>
      </c>
      <c r="B32" s="35">
        <v>2101</v>
      </c>
      <c r="C32" s="44" t="s">
        <v>173</v>
      </c>
      <c r="D32" s="131">
        <f>E32+G32+I32+J32</f>
        <v>175814144</v>
      </c>
      <c r="E32" s="61">
        <f>173856600-1500000+3457544</f>
        <v>175814144</v>
      </c>
      <c r="F32" s="61"/>
      <c r="G32" s="61">
        <v>0</v>
      </c>
      <c r="H32" s="61"/>
      <c r="I32" s="61">
        <v>0</v>
      </c>
      <c r="J32" s="61"/>
      <c r="K32" s="97"/>
    </row>
    <row r="33" spans="1:13" x14ac:dyDescent="0.3">
      <c r="A33" s="20" t="s">
        <v>158</v>
      </c>
      <c r="B33" s="35">
        <v>2102</v>
      </c>
      <c r="C33" s="44" t="s">
        <v>172</v>
      </c>
      <c r="D33" s="131">
        <f>E33+G33+I33+J33</f>
        <v>3642830</v>
      </c>
      <c r="E33" s="61">
        <f>300000+62190</f>
        <v>362190</v>
      </c>
      <c r="F33" s="124"/>
      <c r="G33" s="61">
        <f>2700000+100000</f>
        <v>2800000</v>
      </c>
      <c r="H33" s="61"/>
      <c r="I33" s="64">
        <f>300000+180640</f>
        <v>480640</v>
      </c>
      <c r="J33" s="61"/>
      <c r="K33" s="97"/>
    </row>
    <row r="34" spans="1:13" x14ac:dyDescent="0.3">
      <c r="A34" s="20" t="s">
        <v>159</v>
      </c>
      <c r="B34" s="35">
        <v>2103</v>
      </c>
      <c r="C34" s="44" t="s">
        <v>174</v>
      </c>
      <c r="D34" s="131">
        <f>E34+G34+I34+J34</f>
        <v>53201178</v>
      </c>
      <c r="E34" s="61">
        <f>52157000+1044178</f>
        <v>53201178</v>
      </c>
      <c r="F34" s="61"/>
      <c r="G34" s="61">
        <v>0</v>
      </c>
      <c r="H34" s="61"/>
      <c r="I34" s="61">
        <v>0</v>
      </c>
      <c r="J34" s="61"/>
      <c r="K34" s="97"/>
    </row>
    <row r="35" spans="1:13" x14ac:dyDescent="0.3">
      <c r="A35" s="54" t="s">
        <v>81</v>
      </c>
      <c r="B35" s="55">
        <v>220</v>
      </c>
      <c r="C35" s="74">
        <v>320</v>
      </c>
      <c r="D35" s="133">
        <f>E35+G35+I35+J35</f>
        <v>0</v>
      </c>
      <c r="E35" s="133">
        <f>E37+E38</f>
        <v>0</v>
      </c>
      <c r="F35" s="133"/>
      <c r="G35" s="133">
        <f>G37</f>
        <v>0</v>
      </c>
      <c r="H35" s="133">
        <v>0</v>
      </c>
      <c r="I35" s="133">
        <v>0</v>
      </c>
      <c r="J35" s="133">
        <v>0</v>
      </c>
      <c r="K35" s="98"/>
    </row>
    <row r="36" spans="1:13" x14ac:dyDescent="0.3">
      <c r="A36" s="19" t="s">
        <v>8</v>
      </c>
      <c r="B36" s="35"/>
      <c r="C36" s="61"/>
      <c r="D36" s="131"/>
      <c r="E36" s="61"/>
      <c r="F36" s="61"/>
      <c r="G36" s="61"/>
      <c r="H36" s="61"/>
      <c r="I36" s="61"/>
      <c r="J36" s="61"/>
      <c r="K36" s="97"/>
    </row>
    <row r="37" spans="1:13" ht="26.4" x14ac:dyDescent="0.3">
      <c r="A37" s="20" t="s">
        <v>220</v>
      </c>
      <c r="B37" s="35">
        <v>2201</v>
      </c>
      <c r="C37" s="79">
        <v>321</v>
      </c>
      <c r="D37" s="131">
        <f>G37</f>
        <v>0</v>
      </c>
      <c r="E37" s="124">
        <v>0</v>
      </c>
      <c r="F37" s="124"/>
      <c r="G37" s="61">
        <v>0</v>
      </c>
      <c r="H37" s="61"/>
      <c r="I37" s="61">
        <v>0</v>
      </c>
      <c r="J37" s="61"/>
      <c r="K37" s="97"/>
    </row>
    <row r="38" spans="1:13" x14ac:dyDescent="0.3">
      <c r="A38" s="39"/>
      <c r="B38" s="35">
        <v>2202</v>
      </c>
      <c r="C38" s="61"/>
      <c r="D38" s="131"/>
      <c r="E38" s="61"/>
      <c r="F38" s="61"/>
      <c r="G38" s="61"/>
      <c r="H38" s="61"/>
      <c r="I38" s="61"/>
      <c r="J38" s="61"/>
      <c r="K38" s="97"/>
    </row>
    <row r="39" spans="1:13" x14ac:dyDescent="0.3">
      <c r="A39" s="54" t="s">
        <v>82</v>
      </c>
      <c r="B39" s="55">
        <v>230</v>
      </c>
      <c r="C39" s="74">
        <v>850</v>
      </c>
      <c r="D39" s="160">
        <f>D41+D42+D43</f>
        <v>6489905</v>
      </c>
      <c r="E39" s="133">
        <f>E41+E42+E43</f>
        <v>6277288</v>
      </c>
      <c r="F39" s="133"/>
      <c r="G39" s="133">
        <v>0</v>
      </c>
      <c r="H39" s="133">
        <v>0</v>
      </c>
      <c r="I39" s="133">
        <f>I41+I42+I43</f>
        <v>212617</v>
      </c>
      <c r="J39" s="133">
        <v>0</v>
      </c>
      <c r="K39" s="98"/>
    </row>
    <row r="40" spans="1:13" x14ac:dyDescent="0.3">
      <c r="A40" s="19" t="s">
        <v>8</v>
      </c>
      <c r="B40" s="35"/>
      <c r="C40" s="61"/>
      <c r="D40" s="131"/>
      <c r="E40" s="61"/>
      <c r="F40" s="61"/>
      <c r="G40" s="61"/>
      <c r="H40" s="61"/>
      <c r="I40" s="61"/>
      <c r="J40" s="61"/>
      <c r="K40" s="97"/>
    </row>
    <row r="41" spans="1:13" x14ac:dyDescent="0.3">
      <c r="A41" s="20" t="s">
        <v>241</v>
      </c>
      <c r="B41" s="35">
        <v>2301</v>
      </c>
      <c r="C41" s="84" t="s">
        <v>178</v>
      </c>
      <c r="D41" s="131">
        <f>E41+I41</f>
        <v>6202905</v>
      </c>
      <c r="E41" s="124">
        <f>5530859-10617+672046</f>
        <v>6192288</v>
      </c>
      <c r="F41" s="124"/>
      <c r="G41" s="61">
        <v>0</v>
      </c>
      <c r="H41" s="61"/>
      <c r="I41" s="61">
        <v>10617</v>
      </c>
      <c r="J41" s="61"/>
      <c r="K41" s="97"/>
    </row>
    <row r="42" spans="1:13" x14ac:dyDescent="0.3">
      <c r="A42" s="20" t="s">
        <v>242</v>
      </c>
      <c r="B42" s="35">
        <v>2302</v>
      </c>
      <c r="C42" s="84" t="s">
        <v>179</v>
      </c>
      <c r="D42" s="131">
        <f>E42+I42</f>
        <v>15000</v>
      </c>
      <c r="E42" s="124">
        <f>9188+5812</f>
        <v>15000</v>
      </c>
      <c r="F42" s="124"/>
      <c r="G42" s="61">
        <v>0</v>
      </c>
      <c r="H42" s="61"/>
      <c r="I42" s="61">
        <v>0</v>
      </c>
      <c r="J42" s="61"/>
      <c r="K42" s="97"/>
      <c r="L42" s="7" t="s">
        <v>237</v>
      </c>
    </row>
    <row r="43" spans="1:13" ht="26.4" x14ac:dyDescent="0.3">
      <c r="A43" s="19" t="s">
        <v>240</v>
      </c>
      <c r="B43" s="35">
        <v>2303</v>
      </c>
      <c r="C43" s="79">
        <v>853</v>
      </c>
      <c r="D43" s="131">
        <f>E43+I43</f>
        <v>272000</v>
      </c>
      <c r="E43" s="61">
        <v>70000</v>
      </c>
      <c r="F43" s="61"/>
      <c r="G43" s="61">
        <v>0</v>
      </c>
      <c r="H43" s="61"/>
      <c r="I43" s="61">
        <v>202000</v>
      </c>
      <c r="J43" s="61"/>
      <c r="K43" s="97"/>
      <c r="L43" s="166" t="s">
        <v>238</v>
      </c>
    </row>
    <row r="44" spans="1:13" x14ac:dyDescent="0.3">
      <c r="A44" s="20" t="s">
        <v>83</v>
      </c>
      <c r="B44" s="35">
        <v>240</v>
      </c>
      <c r="C44" s="61"/>
      <c r="D44" s="131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  <c r="K44" s="98"/>
    </row>
    <row r="45" spans="1:13" ht="26.4" x14ac:dyDescent="0.3">
      <c r="A45" s="20" t="s">
        <v>84</v>
      </c>
      <c r="B45" s="35">
        <v>250</v>
      </c>
      <c r="C45" s="44"/>
      <c r="D45" s="66">
        <f>SUM(E45:J45)</f>
        <v>0</v>
      </c>
      <c r="E45" s="131">
        <f>E46</f>
        <v>0</v>
      </c>
      <c r="F45" s="131"/>
      <c r="G45" s="131">
        <v>0</v>
      </c>
      <c r="H45" s="131">
        <v>0</v>
      </c>
      <c r="I45" s="131">
        <f>I46</f>
        <v>0</v>
      </c>
      <c r="J45" s="131">
        <v>0</v>
      </c>
      <c r="K45" s="98"/>
    </row>
    <row r="46" spans="1:13" x14ac:dyDescent="0.3">
      <c r="A46" s="20"/>
      <c r="B46" s="35">
        <v>2501</v>
      </c>
      <c r="C46" s="79"/>
      <c r="D46" s="131"/>
      <c r="E46" s="61"/>
      <c r="F46" s="61"/>
      <c r="G46" s="61"/>
      <c r="H46" s="61"/>
      <c r="I46" s="61"/>
      <c r="J46" s="61"/>
      <c r="K46" s="97"/>
    </row>
    <row r="47" spans="1:13" x14ac:dyDescent="0.3">
      <c r="A47" s="20"/>
      <c r="B47" s="35">
        <v>2502</v>
      </c>
      <c r="C47" s="61"/>
      <c r="D47" s="131"/>
      <c r="E47" s="61"/>
      <c r="F47" s="61"/>
      <c r="G47" s="61"/>
      <c r="H47" s="61"/>
      <c r="I47" s="61"/>
      <c r="J47" s="61"/>
      <c r="K47" s="97"/>
    </row>
    <row r="48" spans="1:13" x14ac:dyDescent="0.3">
      <c r="A48" s="54" t="s">
        <v>85</v>
      </c>
      <c r="B48" s="55">
        <v>260</v>
      </c>
      <c r="C48" s="73" t="s">
        <v>175</v>
      </c>
      <c r="D48" s="160">
        <f>D50+D51+D52+D54+D60+D61+D62+D58+100000</f>
        <v>67684787.849999994</v>
      </c>
      <c r="E48" s="133">
        <f>E50+E51+E52+E54+E61+E62+E58</f>
        <v>28269798.399999999</v>
      </c>
      <c r="F48" s="133"/>
      <c r="G48" s="133">
        <f>G50+G51+G52+G54+G61+G62+G58</f>
        <v>2220086</v>
      </c>
      <c r="H48" s="133">
        <f>H50+H51+H52+H54+H60+H61+H62+H58</f>
        <v>0</v>
      </c>
      <c r="I48" s="133">
        <f>I50+I51+I52+I54+I61+I62+I58+100000</f>
        <v>37194903.450000003</v>
      </c>
      <c r="J48" s="133">
        <f>J50+J51+J52+J54+J60+J61+J62+J58</f>
        <v>0</v>
      </c>
      <c r="K48" s="98"/>
      <c r="L48" s="7" t="s">
        <v>221</v>
      </c>
      <c r="M48" s="80"/>
    </row>
    <row r="49" spans="1:12" x14ac:dyDescent="0.3">
      <c r="A49" s="69" t="s">
        <v>206</v>
      </c>
      <c r="B49" s="35"/>
      <c r="C49" s="61"/>
      <c r="D49" s="131"/>
      <c r="E49" s="61"/>
      <c r="F49" s="61"/>
      <c r="G49" s="61"/>
      <c r="H49" s="61"/>
      <c r="I49" s="61"/>
      <c r="J49" s="61"/>
      <c r="K49" s="97"/>
      <c r="L49" s="7" t="s">
        <v>234</v>
      </c>
    </row>
    <row r="50" spans="1:12" x14ac:dyDescent="0.3">
      <c r="A50" s="162" t="s">
        <v>162</v>
      </c>
      <c r="B50" s="129">
        <v>2601</v>
      </c>
      <c r="C50" s="130" t="s">
        <v>176</v>
      </c>
      <c r="D50" s="132">
        <f>E50+I50</f>
        <v>260012</v>
      </c>
      <c r="E50" s="113">
        <v>260012</v>
      </c>
      <c r="F50" s="113"/>
      <c r="G50" s="113">
        <v>0</v>
      </c>
      <c r="H50" s="113"/>
      <c r="I50" s="113">
        <v>0</v>
      </c>
      <c r="J50" s="113"/>
      <c r="K50" s="99"/>
    </row>
    <row r="51" spans="1:12" x14ac:dyDescent="0.3">
      <c r="A51" s="162" t="s">
        <v>163</v>
      </c>
      <c r="B51" s="129">
        <v>2602</v>
      </c>
      <c r="C51" s="130" t="s">
        <v>176</v>
      </c>
      <c r="D51" s="132">
        <f>E51+I51</f>
        <v>500000</v>
      </c>
      <c r="E51" s="113">
        <v>0</v>
      </c>
      <c r="F51" s="113"/>
      <c r="G51" s="113">
        <v>0</v>
      </c>
      <c r="H51" s="113"/>
      <c r="I51" s="113">
        <v>500000</v>
      </c>
      <c r="J51" s="113"/>
      <c r="K51" s="99"/>
    </row>
    <row r="52" spans="1:12" x14ac:dyDescent="0.3">
      <c r="A52" s="162" t="s">
        <v>164</v>
      </c>
      <c r="B52" s="129">
        <v>2603</v>
      </c>
      <c r="C52" s="130" t="s">
        <v>176</v>
      </c>
      <c r="D52" s="132">
        <f>E52+I52</f>
        <v>12360450</v>
      </c>
      <c r="E52" s="113">
        <f>5511820</f>
        <v>5511820</v>
      </c>
      <c r="F52" s="113"/>
      <c r="G52" s="113">
        <v>0</v>
      </c>
      <c r="H52" s="113"/>
      <c r="I52" s="113">
        <v>6848630</v>
      </c>
      <c r="J52" s="113"/>
      <c r="K52" s="99"/>
    </row>
    <row r="53" spans="1:12" x14ac:dyDescent="0.3">
      <c r="A53" s="69" t="s">
        <v>165</v>
      </c>
      <c r="B53" s="71">
        <v>2604</v>
      </c>
      <c r="C53" s="67"/>
      <c r="D53" s="131"/>
      <c r="E53" s="67"/>
      <c r="F53" s="67"/>
      <c r="G53" s="67"/>
      <c r="H53" s="67"/>
      <c r="I53" s="126"/>
      <c r="J53" s="67"/>
      <c r="K53" s="99"/>
    </row>
    <row r="54" spans="1:12" x14ac:dyDescent="0.3">
      <c r="A54" s="104" t="s">
        <v>201</v>
      </c>
      <c r="B54" s="111">
        <v>2605</v>
      </c>
      <c r="C54" s="112"/>
      <c r="D54" s="159">
        <f>E54+I54+G54</f>
        <v>12655193.969999999</v>
      </c>
      <c r="E54" s="132">
        <f>4792115-432112.03+(E57+E56)</f>
        <v>4625892.97</v>
      </c>
      <c r="F54" s="132"/>
      <c r="G54" s="132">
        <f>0+(G57+G56)+0</f>
        <v>1681746</v>
      </c>
      <c r="H54" s="132"/>
      <c r="I54" s="132">
        <f>2868791+490000+(I56+I57)</f>
        <v>6347555</v>
      </c>
      <c r="J54" s="128"/>
      <c r="K54" s="97"/>
    </row>
    <row r="55" spans="1:12" x14ac:dyDescent="0.3">
      <c r="A55" s="69" t="s">
        <v>205</v>
      </c>
      <c r="B55" s="71"/>
      <c r="C55" s="67"/>
      <c r="D55" s="131"/>
      <c r="E55" s="67"/>
      <c r="F55" s="67"/>
      <c r="G55" s="67"/>
      <c r="H55" s="67"/>
      <c r="I55" s="126"/>
      <c r="J55" s="67"/>
      <c r="K55" s="99"/>
    </row>
    <row r="56" spans="1:12" x14ac:dyDescent="0.3">
      <c r="A56" s="69" t="s">
        <v>191</v>
      </c>
      <c r="B56" s="71"/>
      <c r="C56" s="68" t="s">
        <v>176</v>
      </c>
      <c r="D56" s="131">
        <f>E56+I56+G56</f>
        <v>75890</v>
      </c>
      <c r="E56" s="126">
        <v>25890</v>
      </c>
      <c r="F56" s="126"/>
      <c r="G56" s="126">
        <v>0</v>
      </c>
      <c r="H56" s="67"/>
      <c r="I56" s="126">
        <v>50000</v>
      </c>
      <c r="J56" s="67"/>
      <c r="K56" s="99"/>
    </row>
    <row r="57" spans="1:12" x14ac:dyDescent="0.3">
      <c r="A57" s="69" t="s">
        <v>192</v>
      </c>
      <c r="B57" s="71"/>
      <c r="C57" s="68" t="s">
        <v>176</v>
      </c>
      <c r="D57" s="131">
        <f>E57+I57+G57</f>
        <v>4860510</v>
      </c>
      <c r="E57" s="126">
        <f>240000</f>
        <v>240000</v>
      </c>
      <c r="F57" s="126"/>
      <c r="G57" s="126">
        <f>1900000-218254</f>
        <v>1681746</v>
      </c>
      <c r="H57" s="67"/>
      <c r="I57" s="126">
        <f>4857074-1918310</f>
        <v>2938764</v>
      </c>
      <c r="J57" s="67"/>
      <c r="K57" s="99"/>
    </row>
    <row r="58" spans="1:12" s="72" customFormat="1" x14ac:dyDescent="0.3">
      <c r="A58" s="104" t="s">
        <v>200</v>
      </c>
      <c r="B58" s="129">
        <v>2606</v>
      </c>
      <c r="C58" s="130" t="s">
        <v>176</v>
      </c>
      <c r="D58" s="159">
        <f>E58+I58+G58</f>
        <v>6005304.8199999994</v>
      </c>
      <c r="E58" s="132">
        <f>2124263+882938.18</f>
        <v>3007201.18</v>
      </c>
      <c r="F58" s="132"/>
      <c r="G58" s="132">
        <v>12680.64</v>
      </c>
      <c r="H58" s="132"/>
      <c r="I58" s="132">
        <f>2000000+50000-10000-81000-60000+1448348-300000+1138075-1200000</f>
        <v>2985423</v>
      </c>
      <c r="J58" s="113"/>
      <c r="K58" s="99"/>
    </row>
    <row r="59" spans="1:12" x14ac:dyDescent="0.3">
      <c r="A59" s="69" t="s">
        <v>205</v>
      </c>
      <c r="B59" s="35"/>
      <c r="C59" s="61"/>
      <c r="D59" s="131"/>
      <c r="E59" s="61"/>
      <c r="F59" s="61"/>
      <c r="G59" s="61"/>
      <c r="H59" s="61"/>
      <c r="I59" s="124"/>
      <c r="J59" s="61"/>
      <c r="K59" s="97"/>
    </row>
    <row r="60" spans="1:12" x14ac:dyDescent="0.3">
      <c r="A60" s="103" t="s">
        <v>171</v>
      </c>
      <c r="B60" s="35"/>
      <c r="C60" s="61"/>
      <c r="D60" s="131"/>
      <c r="E60" s="61"/>
      <c r="F60" s="61"/>
      <c r="G60" s="61"/>
      <c r="H60" s="61"/>
      <c r="I60" s="124"/>
      <c r="J60" s="61"/>
      <c r="K60" s="97"/>
    </row>
    <row r="61" spans="1:12" x14ac:dyDescent="0.3">
      <c r="A61" s="117" t="s">
        <v>155</v>
      </c>
      <c r="B61" s="111">
        <v>2607</v>
      </c>
      <c r="C61" s="161">
        <v>244</v>
      </c>
      <c r="D61" s="159">
        <f>E61+G61+H61+I61</f>
        <v>5291380.3600000003</v>
      </c>
      <c r="E61" s="132">
        <v>0</v>
      </c>
      <c r="F61" s="132"/>
      <c r="G61" s="132">
        <f>300000+(157319.36-1080)+69000-660</f>
        <v>524579.36</v>
      </c>
      <c r="H61" s="132"/>
      <c r="I61" s="132">
        <f>2270000+500000+1936801+60000</f>
        <v>4766801</v>
      </c>
      <c r="J61" s="128"/>
      <c r="K61" s="97"/>
    </row>
    <row r="62" spans="1:12" ht="26.4" x14ac:dyDescent="0.3">
      <c r="A62" s="117" t="s">
        <v>202</v>
      </c>
      <c r="B62" s="111">
        <v>2608</v>
      </c>
      <c r="C62" s="112" t="s">
        <v>177</v>
      </c>
      <c r="D62" s="159">
        <f>SUM(E62:I62)</f>
        <v>30512446.699999999</v>
      </c>
      <c r="E62" s="158">
        <f>SUM(E64:E67)+(1500000-0)</f>
        <v>14864872.25</v>
      </c>
      <c r="F62" s="158"/>
      <c r="G62" s="158">
        <f>SUM(G64:G67)+1080</f>
        <v>1080</v>
      </c>
      <c r="H62" s="158"/>
      <c r="I62" s="158">
        <f>SUM(I64:I67)+1471828.95+1.5+1309595</f>
        <v>15646494.449999999</v>
      </c>
      <c r="J62" s="132"/>
      <c r="K62" s="99"/>
    </row>
    <row r="63" spans="1:12" x14ac:dyDescent="0.3">
      <c r="A63" s="75" t="s">
        <v>205</v>
      </c>
      <c r="B63" s="35"/>
      <c r="C63" s="61"/>
      <c r="D63" s="131"/>
      <c r="E63" s="61"/>
      <c r="F63" s="61"/>
      <c r="G63" s="61"/>
      <c r="H63" s="61"/>
      <c r="I63" s="61"/>
      <c r="J63" s="61"/>
      <c r="K63" s="97"/>
    </row>
    <row r="64" spans="1:12" x14ac:dyDescent="0.3">
      <c r="A64" s="75" t="s">
        <v>194</v>
      </c>
      <c r="B64" s="35"/>
      <c r="C64" s="44" t="s">
        <v>177</v>
      </c>
      <c r="D64" s="131">
        <f>E64+I64</f>
        <v>2780772</v>
      </c>
      <c r="E64" s="124">
        <f>350000+5812+800000</f>
        <v>1155812</v>
      </c>
      <c r="F64" s="124"/>
      <c r="G64" s="124">
        <v>0</v>
      </c>
      <c r="H64" s="61"/>
      <c r="I64" s="124">
        <f>1524957.17+100002.83</f>
        <v>1624960</v>
      </c>
      <c r="J64" s="61"/>
      <c r="K64" s="97"/>
    </row>
    <row r="65" spans="1:11" x14ac:dyDescent="0.3">
      <c r="A65" s="75" t="s">
        <v>167</v>
      </c>
      <c r="B65" s="35"/>
      <c r="C65" s="44" t="s">
        <v>177</v>
      </c>
      <c r="D65" s="131">
        <f>E65+I65</f>
        <v>20405000</v>
      </c>
      <c r="E65" s="124">
        <f>9805000+100000+500000</f>
        <v>10405000</v>
      </c>
      <c r="F65" s="124"/>
      <c r="G65" s="124">
        <v>0</v>
      </c>
      <c r="H65" s="61"/>
      <c r="I65" s="124">
        <v>10000000</v>
      </c>
      <c r="J65" s="61"/>
      <c r="K65" s="97"/>
    </row>
    <row r="66" spans="1:11" x14ac:dyDescent="0.3">
      <c r="A66" s="75" t="s">
        <v>166</v>
      </c>
      <c r="B66" s="35"/>
      <c r="C66" s="44" t="s">
        <v>177</v>
      </c>
      <c r="D66" s="131">
        <f>E66+I66</f>
        <v>373705</v>
      </c>
      <c r="E66" s="124">
        <f>150000+173705</f>
        <v>323705</v>
      </c>
      <c r="F66" s="124"/>
      <c r="G66" s="124">
        <v>0</v>
      </c>
      <c r="H66" s="61"/>
      <c r="I66" s="124">
        <f>50000</f>
        <v>50000</v>
      </c>
      <c r="J66" s="61"/>
      <c r="K66" s="97"/>
    </row>
    <row r="67" spans="1:11" x14ac:dyDescent="0.3">
      <c r="A67" s="75" t="s">
        <v>168</v>
      </c>
      <c r="B67" s="35"/>
      <c r="C67" s="44" t="s">
        <v>177</v>
      </c>
      <c r="D67" s="131">
        <f>E67+I67</f>
        <v>2670464.25</v>
      </c>
      <c r="E67" s="124">
        <f>300000+830298.4+350056.85</f>
        <v>1480355.25</v>
      </c>
      <c r="F67" s="124"/>
      <c r="G67" s="124">
        <v>0</v>
      </c>
      <c r="H67" s="61"/>
      <c r="I67" s="124">
        <f>590109+600000</f>
        <v>1190109</v>
      </c>
      <c r="J67" s="61"/>
      <c r="K67" s="97"/>
    </row>
    <row r="68" spans="1:11" x14ac:dyDescent="0.3">
      <c r="A68" s="114" t="s">
        <v>203</v>
      </c>
      <c r="B68" s="55">
        <v>270</v>
      </c>
      <c r="C68" s="55"/>
      <c r="D68" s="133">
        <f>SUM(E68:J68)</f>
        <v>0</v>
      </c>
      <c r="E68" s="115">
        <v>0</v>
      </c>
      <c r="F68" s="115"/>
      <c r="G68" s="115">
        <v>0</v>
      </c>
      <c r="H68" s="115">
        <v>0</v>
      </c>
      <c r="I68" s="115">
        <v>0</v>
      </c>
      <c r="J68" s="115">
        <v>0</v>
      </c>
    </row>
    <row r="69" spans="1:11" x14ac:dyDescent="0.3">
      <c r="A69" s="108" t="s">
        <v>9</v>
      </c>
      <c r="B69" s="109">
        <v>300</v>
      </c>
      <c r="C69" s="110" t="s">
        <v>7</v>
      </c>
      <c r="D69" s="141"/>
      <c r="E69" s="110"/>
      <c r="F69" s="110"/>
      <c r="G69" s="110"/>
      <c r="H69" s="110"/>
      <c r="I69" s="110"/>
      <c r="J69" s="110"/>
      <c r="K69" s="93"/>
    </row>
    <row r="70" spans="1:11" ht="14.25" customHeight="1" x14ac:dyDescent="0.3">
      <c r="A70" s="19" t="s">
        <v>8</v>
      </c>
      <c r="B70" s="35"/>
      <c r="C70" s="61"/>
      <c r="D70" s="131"/>
      <c r="E70" s="44"/>
      <c r="F70" s="44"/>
      <c r="G70" s="61"/>
      <c r="H70" s="61"/>
      <c r="I70" s="61"/>
      <c r="J70" s="61"/>
      <c r="K70" s="97"/>
    </row>
    <row r="71" spans="1:11" x14ac:dyDescent="0.3">
      <c r="A71" s="20" t="s">
        <v>87</v>
      </c>
      <c r="B71" s="35">
        <v>310</v>
      </c>
      <c r="C71" s="61"/>
      <c r="D71" s="131"/>
      <c r="E71" s="61"/>
      <c r="F71" s="61"/>
      <c r="G71" s="61"/>
      <c r="H71" s="61"/>
      <c r="I71" s="61"/>
      <c r="J71" s="61"/>
      <c r="K71" s="97"/>
    </row>
    <row r="72" spans="1:11" x14ac:dyDescent="0.3">
      <c r="A72" s="20" t="s">
        <v>88</v>
      </c>
      <c r="B72" s="35">
        <v>320</v>
      </c>
      <c r="C72" s="61"/>
      <c r="D72" s="131"/>
      <c r="E72" s="61"/>
      <c r="F72" s="61"/>
      <c r="G72" s="61"/>
      <c r="H72" s="61"/>
      <c r="I72" s="61"/>
      <c r="J72" s="61"/>
      <c r="K72" s="97"/>
    </row>
    <row r="73" spans="1:11" x14ac:dyDescent="0.3">
      <c r="A73" s="59" t="s">
        <v>10</v>
      </c>
      <c r="B73" s="60">
        <v>400</v>
      </c>
      <c r="C73" s="65"/>
      <c r="D73" s="142"/>
      <c r="E73" s="65"/>
      <c r="F73" s="65"/>
      <c r="G73" s="65"/>
      <c r="H73" s="65"/>
      <c r="I73" s="65"/>
      <c r="J73" s="65"/>
      <c r="K73" s="100"/>
    </row>
    <row r="74" spans="1:11" ht="14.25" customHeight="1" x14ac:dyDescent="0.3">
      <c r="A74" s="19" t="s">
        <v>8</v>
      </c>
      <c r="B74" s="35"/>
      <c r="C74" s="61"/>
      <c r="D74" s="131"/>
      <c r="E74" s="61"/>
      <c r="F74" s="61"/>
      <c r="G74" s="61"/>
      <c r="H74" s="61"/>
      <c r="I74" s="61"/>
      <c r="J74" s="61"/>
      <c r="K74" s="97"/>
    </row>
    <row r="75" spans="1:11" x14ac:dyDescent="0.3">
      <c r="A75" s="20" t="s">
        <v>89</v>
      </c>
      <c r="B75" s="35">
        <v>410</v>
      </c>
      <c r="C75" s="61"/>
      <c r="D75" s="131"/>
      <c r="E75" s="61"/>
      <c r="F75" s="61"/>
      <c r="G75" s="61"/>
      <c r="H75" s="61"/>
      <c r="I75" s="61"/>
      <c r="J75" s="61"/>
      <c r="K75" s="97"/>
    </row>
    <row r="76" spans="1:11" x14ac:dyDescent="0.3">
      <c r="A76" s="20" t="s">
        <v>90</v>
      </c>
      <c r="B76" s="35">
        <v>420</v>
      </c>
      <c r="C76" s="61"/>
      <c r="D76" s="131"/>
      <c r="E76" s="61"/>
      <c r="F76" s="61"/>
      <c r="G76" s="61"/>
      <c r="H76" s="61"/>
      <c r="I76" s="61"/>
      <c r="J76" s="61"/>
      <c r="K76" s="97"/>
    </row>
    <row r="77" spans="1:11" x14ac:dyDescent="0.3">
      <c r="A77" s="40" t="s">
        <v>11</v>
      </c>
      <c r="B77" s="38">
        <v>500</v>
      </c>
      <c r="C77" s="66" t="s">
        <v>7</v>
      </c>
      <c r="D77" s="131">
        <f>E77+I77+G77</f>
        <v>7767696.8499999996</v>
      </c>
      <c r="E77" s="66">
        <v>1630298.4</v>
      </c>
      <c r="F77" s="66"/>
      <c r="G77" s="66">
        <v>0</v>
      </c>
      <c r="H77" s="66"/>
      <c r="I77" s="66">
        <v>6137398.4500000002</v>
      </c>
      <c r="J77" s="66"/>
      <c r="K77" s="101"/>
    </row>
    <row r="78" spans="1:11" x14ac:dyDescent="0.3">
      <c r="A78" s="40" t="s">
        <v>12</v>
      </c>
      <c r="B78" s="38">
        <v>600</v>
      </c>
      <c r="C78" s="66" t="s">
        <v>7</v>
      </c>
      <c r="D78" s="131">
        <f>E78+I78+G78</f>
        <v>0</v>
      </c>
      <c r="E78" s="66">
        <v>0</v>
      </c>
      <c r="F78" s="66"/>
      <c r="G78" s="66">
        <v>0</v>
      </c>
      <c r="H78" s="66"/>
      <c r="I78" s="147">
        <v>0</v>
      </c>
      <c r="J78" s="66"/>
      <c r="K78" s="101"/>
    </row>
    <row r="79" spans="1:11" x14ac:dyDescent="0.3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33" customHeight="1" x14ac:dyDescent="0.3">
      <c r="A80" s="209" t="s">
        <v>144</v>
      </c>
      <c r="B80" s="209"/>
      <c r="C80" s="209"/>
      <c r="D80" s="209"/>
      <c r="E80" s="209"/>
      <c r="F80" s="209"/>
      <c r="G80" s="209"/>
      <c r="H80" s="209"/>
      <c r="I80" s="209"/>
      <c r="J80" s="209"/>
      <c r="K80" s="88"/>
    </row>
    <row r="81" spans="1:11" ht="14.4" x14ac:dyDescent="0.3">
      <c r="A81" s="205" t="s">
        <v>216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x14ac:dyDescent="0.3">
      <c r="A82" s="2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3">
      <c r="A83" s="2"/>
      <c r="B83" s="8"/>
      <c r="C83" s="8"/>
      <c r="D83" s="70"/>
      <c r="E83" s="8"/>
      <c r="F83" s="8"/>
      <c r="G83" s="8"/>
      <c r="H83" s="8"/>
      <c r="I83" s="8"/>
      <c r="J83" s="8"/>
      <c r="K83" s="8"/>
    </row>
    <row r="84" spans="1:11" x14ac:dyDescent="0.3">
      <c r="A84" s="2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3">
      <c r="A85" s="2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3">
      <c r="A86" s="2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zoomScale="90" zoomScaleNormal="100" zoomScaleSheetLayoutView="90" workbookViewId="0">
      <selection activeCell="E31" sqref="E31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5" width="17" style="7" customWidth="1"/>
    <col min="6" max="6" width="18.5546875" style="7" customWidth="1"/>
    <col min="7" max="7" width="14.44140625" style="7" customWidth="1"/>
    <col min="8" max="8" width="13.44140625" style="7" customWidth="1"/>
    <col min="9" max="9" width="10.33203125" style="7" customWidth="1"/>
    <col min="10" max="10" width="13.44140625" style="7" customWidth="1"/>
    <col min="11" max="11" width="21.88671875" style="7" customWidth="1"/>
    <col min="12" max="12" width="15.5546875" style="7" customWidth="1"/>
    <col min="13" max="13" width="9.88671875" style="7" bestFit="1" customWidth="1"/>
    <col min="14" max="14" width="10.33203125" style="7" customWidth="1"/>
    <col min="15" max="16384" width="9.109375" style="7"/>
  </cols>
  <sheetData>
    <row r="1" spans="1:12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3">
      <c r="A2" s="208" t="s">
        <v>212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3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3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3">
      <c r="A9" s="57" t="s">
        <v>6</v>
      </c>
      <c r="B9" s="58">
        <v>100</v>
      </c>
      <c r="C9" s="58" t="s">
        <v>7</v>
      </c>
      <c r="D9" s="62">
        <f>D12+D20+D23+D18+D11</f>
        <v>302356262</v>
      </c>
      <c r="E9" s="62">
        <f>E12</f>
        <v>268978400</v>
      </c>
      <c r="F9" s="62">
        <f>F20</f>
        <v>0</v>
      </c>
      <c r="G9" s="62"/>
      <c r="H9" s="62">
        <f>H11+H12+H18+H19+H21+H23</f>
        <v>33377862</v>
      </c>
      <c r="I9" s="62"/>
      <c r="J9" s="93">
        <f>E9+F9+H9-D9</f>
        <v>0</v>
      </c>
      <c r="K9" s="80">
        <f>D9+D76</f>
        <v>302356262</v>
      </c>
      <c r="L9" s="80">
        <f>K9-D27</f>
        <v>0</v>
      </c>
    </row>
    <row r="10" spans="1:12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x14ac:dyDescent="0.3">
      <c r="A11" s="54" t="s">
        <v>70</v>
      </c>
      <c r="B11" s="55">
        <v>110</v>
      </c>
      <c r="C11" s="55">
        <v>120</v>
      </c>
      <c r="D11" s="133">
        <f>H11</f>
        <v>239312</v>
      </c>
      <c r="E11" s="55" t="s">
        <v>7</v>
      </c>
      <c r="F11" s="55" t="s">
        <v>7</v>
      </c>
      <c r="G11" s="55" t="s">
        <v>7</v>
      </c>
      <c r="H11" s="63">
        <v>239312</v>
      </c>
      <c r="I11" s="55" t="s">
        <v>7</v>
      </c>
      <c r="J11" s="94"/>
    </row>
    <row r="12" spans="1:12" x14ac:dyDescent="0.3">
      <c r="A12" s="54" t="s">
        <v>156</v>
      </c>
      <c r="B12" s="55">
        <v>120</v>
      </c>
      <c r="C12" s="55">
        <v>130</v>
      </c>
      <c r="D12" s="133">
        <f>E12+H12</f>
        <v>301930500</v>
      </c>
      <c r="E12" s="63">
        <f>E14+E15</f>
        <v>268978400</v>
      </c>
      <c r="F12" s="55" t="s">
        <v>7</v>
      </c>
      <c r="G12" s="55" t="s">
        <v>7</v>
      </c>
      <c r="H12" s="63">
        <f>H14</f>
        <v>32952100</v>
      </c>
      <c r="I12" s="55"/>
      <c r="J12" s="143" t="s">
        <v>208</v>
      </c>
      <c r="K12" s="80">
        <f>E12+E76</f>
        <v>268978400</v>
      </c>
      <c r="L12" s="80">
        <f>K12-E27</f>
        <v>0</v>
      </c>
    </row>
    <row r="13" spans="1:12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x14ac:dyDescent="0.3">
      <c r="A14" s="163" t="s">
        <v>218</v>
      </c>
      <c r="B14" s="33">
        <v>1201</v>
      </c>
      <c r="C14" s="34">
        <v>130</v>
      </c>
      <c r="D14" s="135">
        <f>E14+H14</f>
        <v>295844100</v>
      </c>
      <c r="E14" s="64">
        <f>268978400-6086400</f>
        <v>262892000</v>
      </c>
      <c r="F14" s="34" t="s">
        <v>7</v>
      </c>
      <c r="G14" s="34" t="s">
        <v>7</v>
      </c>
      <c r="H14" s="64">
        <v>32952100</v>
      </c>
      <c r="I14" s="102">
        <v>0</v>
      </c>
      <c r="J14" s="144" t="s">
        <v>209</v>
      </c>
      <c r="K14" s="80">
        <f>H9+H76</f>
        <v>33377862</v>
      </c>
      <c r="L14" s="83">
        <f>K14-H27</f>
        <v>0</v>
      </c>
    </row>
    <row r="15" spans="1:12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6086400</v>
      </c>
      <c r="E15" s="124">
        <f>5418686+672046+5812-10144</f>
        <v>6086400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3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6.4" x14ac:dyDescent="0.3">
      <c r="A18" s="56" t="s">
        <v>71</v>
      </c>
      <c r="B18" s="55">
        <v>130</v>
      </c>
      <c r="C18" s="55">
        <v>140</v>
      </c>
      <c r="D18" s="133">
        <f>H18</f>
        <v>136450</v>
      </c>
      <c r="E18" s="55" t="s">
        <v>7</v>
      </c>
      <c r="F18" s="55" t="s">
        <v>7</v>
      </c>
      <c r="G18" s="55" t="s">
        <v>7</v>
      </c>
      <c r="H18" s="63">
        <v>136450</v>
      </c>
      <c r="I18" s="55" t="s">
        <v>7</v>
      </c>
      <c r="J18" s="94"/>
    </row>
    <row r="19" spans="1:14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x14ac:dyDescent="0.3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x14ac:dyDescent="0.3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x14ac:dyDescent="0.3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3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6.4" x14ac:dyDescent="0.3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x14ac:dyDescent="0.3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x14ac:dyDescent="0.3">
      <c r="A27" s="108" t="s">
        <v>69</v>
      </c>
      <c r="B27" s="109">
        <v>200</v>
      </c>
      <c r="C27" s="109" t="s">
        <v>7</v>
      </c>
      <c r="D27" s="141">
        <f>E27+H27+F27</f>
        <v>302356262</v>
      </c>
      <c r="E27" s="110">
        <f>E29+E36+E38+E44+E47</f>
        <v>268978400</v>
      </c>
      <c r="F27" s="110">
        <f>F29+F38+F47</f>
        <v>0</v>
      </c>
      <c r="G27" s="110">
        <f t="shared" ref="G27" si="0">G29+G38+G47</f>
        <v>0</v>
      </c>
      <c r="H27" s="110">
        <f>H29+H38+H44+H47</f>
        <v>33377862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3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3">
      <c r="A29" s="54" t="s">
        <v>80</v>
      </c>
      <c r="B29" s="55">
        <v>210</v>
      </c>
      <c r="C29" s="74">
        <v>100</v>
      </c>
      <c r="D29" s="160">
        <f>E29+F29+H29</f>
        <v>228154005</v>
      </c>
      <c r="E29" s="160">
        <f>SUM(E31:E33)</f>
        <v>228154005</v>
      </c>
      <c r="F29" s="160">
        <f t="shared" ref="F29:I29" si="1">SUM(F31:F33)</f>
        <v>0</v>
      </c>
      <c r="G29" s="160">
        <f t="shared" si="1"/>
        <v>0</v>
      </c>
      <c r="H29" s="160">
        <f t="shared" si="1"/>
        <v>0</v>
      </c>
      <c r="I29" s="160">
        <f t="shared" si="1"/>
        <v>0</v>
      </c>
      <c r="J29" s="98"/>
      <c r="K29" s="80"/>
    </row>
    <row r="30" spans="1:14" ht="14.25" customHeight="1" x14ac:dyDescent="0.3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x14ac:dyDescent="0.3">
      <c r="A31" s="20" t="s">
        <v>157</v>
      </c>
      <c r="B31" s="35">
        <v>2101</v>
      </c>
      <c r="C31" s="44" t="s">
        <v>173</v>
      </c>
      <c r="D31" s="131">
        <f>E31+F31+H31+I31</f>
        <v>175000000</v>
      </c>
      <c r="E31" s="61">
        <v>175000000</v>
      </c>
      <c r="F31" s="61"/>
      <c r="G31" s="61"/>
      <c r="H31" s="61">
        <v>0</v>
      </c>
      <c r="I31" s="61"/>
      <c r="J31" s="97"/>
    </row>
    <row r="32" spans="1:14" x14ac:dyDescent="0.3">
      <c r="A32" s="20" t="s">
        <v>158</v>
      </c>
      <c r="B32" s="35">
        <v>2102</v>
      </c>
      <c r="C32" s="44" t="s">
        <v>172</v>
      </c>
      <c r="D32" s="131">
        <f>E32+F32+H32+I32</f>
        <v>654005</v>
      </c>
      <c r="E32" s="124">
        <v>654005</v>
      </c>
      <c r="F32" s="61">
        <v>0</v>
      </c>
      <c r="G32" s="61"/>
      <c r="H32" s="61">
        <v>0</v>
      </c>
      <c r="I32" s="61"/>
      <c r="J32" s="97"/>
    </row>
    <row r="33" spans="1:12" x14ac:dyDescent="0.3">
      <c r="A33" s="20" t="s">
        <v>159</v>
      </c>
      <c r="B33" s="35">
        <v>2103</v>
      </c>
      <c r="C33" s="44" t="s">
        <v>174</v>
      </c>
      <c r="D33" s="131">
        <f>E33+F33+H33+I33</f>
        <v>52500000</v>
      </c>
      <c r="E33" s="61">
        <v>52500000</v>
      </c>
      <c r="F33" s="61"/>
      <c r="G33" s="61"/>
      <c r="H33" s="61">
        <v>0</v>
      </c>
      <c r="I33" s="61"/>
      <c r="J33" s="97"/>
    </row>
    <row r="34" spans="1:12" x14ac:dyDescent="0.3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x14ac:dyDescent="0.3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9.6" x14ac:dyDescent="0.3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x14ac:dyDescent="0.3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x14ac:dyDescent="0.3">
      <c r="A38" s="54" t="s">
        <v>82</v>
      </c>
      <c r="B38" s="55">
        <v>230</v>
      </c>
      <c r="C38" s="74">
        <v>850</v>
      </c>
      <c r="D38" s="160">
        <f>E38+H38</f>
        <v>6377732</v>
      </c>
      <c r="E38" s="133">
        <f>E40+E41+E42</f>
        <v>6165588</v>
      </c>
      <c r="F38" s="133">
        <v>0</v>
      </c>
      <c r="G38" s="133">
        <v>0</v>
      </c>
      <c r="H38" s="133">
        <f>H40+H41+H42</f>
        <v>212144</v>
      </c>
      <c r="I38" s="133">
        <v>0</v>
      </c>
      <c r="J38" s="98"/>
    </row>
    <row r="39" spans="1:12" x14ac:dyDescent="0.3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x14ac:dyDescent="0.3">
      <c r="A40" s="20" t="s">
        <v>243</v>
      </c>
      <c r="B40" s="35">
        <v>2301</v>
      </c>
      <c r="C40" s="84" t="s">
        <v>178</v>
      </c>
      <c r="D40" s="131">
        <f>E40+H40</f>
        <v>6090732</v>
      </c>
      <c r="E40" s="124">
        <f>(5418686-10144)+672046</f>
        <v>6080588</v>
      </c>
      <c r="F40" s="61"/>
      <c r="G40" s="61"/>
      <c r="H40" s="61">
        <v>10144</v>
      </c>
      <c r="I40" s="61"/>
      <c r="J40" s="97"/>
    </row>
    <row r="41" spans="1:12" x14ac:dyDescent="0.3">
      <c r="A41" s="20" t="s">
        <v>242</v>
      </c>
      <c r="B41" s="35">
        <v>2302</v>
      </c>
      <c r="C41" s="84" t="s">
        <v>179</v>
      </c>
      <c r="D41" s="131">
        <f>E41+H41</f>
        <v>15000</v>
      </c>
      <c r="E41" s="124">
        <v>15000</v>
      </c>
      <c r="F41" s="61"/>
      <c r="G41" s="61"/>
      <c r="H41" s="61">
        <v>0</v>
      </c>
      <c r="I41" s="61"/>
      <c r="J41" s="97"/>
      <c r="K41" s="7" t="s">
        <v>237</v>
      </c>
    </row>
    <row r="42" spans="1:12" ht="26.4" x14ac:dyDescent="0.3">
      <c r="A42" s="19" t="s">
        <v>240</v>
      </c>
      <c r="B42" s="35">
        <v>2303</v>
      </c>
      <c r="C42" s="79">
        <v>853</v>
      </c>
      <c r="D42" s="131">
        <f>E42+H42</f>
        <v>272000</v>
      </c>
      <c r="E42" s="61">
        <v>70000</v>
      </c>
      <c r="F42" s="61"/>
      <c r="G42" s="61"/>
      <c r="H42" s="61">
        <v>202000</v>
      </c>
      <c r="I42" s="61"/>
      <c r="J42" s="97"/>
      <c r="K42" s="166" t="s">
        <v>238</v>
      </c>
    </row>
    <row r="43" spans="1:12" x14ac:dyDescent="0.3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6.4" x14ac:dyDescent="0.3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x14ac:dyDescent="0.3">
      <c r="A45" s="20"/>
      <c r="B45" s="35">
        <v>2501</v>
      </c>
      <c r="C45" s="79"/>
      <c r="D45" s="131"/>
      <c r="E45" s="61"/>
      <c r="F45" s="61"/>
      <c r="G45" s="61"/>
      <c r="H45" s="61"/>
      <c r="I45" s="61"/>
      <c r="J45" s="97"/>
    </row>
    <row r="46" spans="1:12" x14ac:dyDescent="0.3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x14ac:dyDescent="0.3">
      <c r="A47" s="54" t="s">
        <v>85</v>
      </c>
      <c r="B47" s="55">
        <v>260</v>
      </c>
      <c r="C47" s="73" t="s">
        <v>175</v>
      </c>
      <c r="D47" s="160">
        <f>D49+D50+D51+D53+D59+D60+D61+D57</f>
        <v>67824525</v>
      </c>
      <c r="E47" s="133">
        <f>E49+E50+E51+E53+E59+E60+E61+E57</f>
        <v>34658807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33165718</v>
      </c>
      <c r="I47" s="133">
        <f t="shared" si="2"/>
        <v>0</v>
      </c>
      <c r="J47" s="98"/>
      <c r="L47" s="80"/>
    </row>
    <row r="48" spans="1:12" x14ac:dyDescent="0.3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x14ac:dyDescent="0.3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x14ac:dyDescent="0.3">
      <c r="A50" s="162" t="s">
        <v>163</v>
      </c>
      <c r="B50" s="129">
        <v>2602</v>
      </c>
      <c r="C50" s="130" t="s">
        <v>176</v>
      </c>
      <c r="D50" s="132">
        <f>E50+H50</f>
        <v>500000</v>
      </c>
      <c r="E50" s="113">
        <v>0</v>
      </c>
      <c r="F50" s="113"/>
      <c r="G50" s="113"/>
      <c r="H50" s="113">
        <v>500000</v>
      </c>
      <c r="I50" s="113"/>
      <c r="J50" s="99"/>
    </row>
    <row r="51" spans="1:10" x14ac:dyDescent="0.3">
      <c r="A51" s="162" t="s">
        <v>164</v>
      </c>
      <c r="B51" s="129">
        <v>2603</v>
      </c>
      <c r="C51" s="130" t="s">
        <v>176</v>
      </c>
      <c r="D51" s="132">
        <f>E51+H51</f>
        <v>13346970</v>
      </c>
      <c r="E51" s="113">
        <f>6725400</f>
        <v>6725400</v>
      </c>
      <c r="F51" s="113"/>
      <c r="G51" s="113"/>
      <c r="H51" s="113">
        <v>6621570</v>
      </c>
      <c r="I51" s="113"/>
      <c r="J51" s="99"/>
    </row>
    <row r="52" spans="1:10" x14ac:dyDescent="0.3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x14ac:dyDescent="0.3">
      <c r="A53" s="104" t="s">
        <v>201</v>
      </c>
      <c r="B53" s="111">
        <v>2605</v>
      </c>
      <c r="C53" s="112"/>
      <c r="D53" s="132">
        <f>E53+H53+F53</f>
        <v>13212706</v>
      </c>
      <c r="E53" s="128">
        <f>3502331.75+(E56+E55)+226073.36+27000+2868258.89</f>
        <v>8256114</v>
      </c>
      <c r="F53" s="113">
        <f>0+(F56+F55)+0</f>
        <v>0</v>
      </c>
      <c r="G53" s="128"/>
      <c r="H53" s="128">
        <f>3805592+551000+(H55+H56)</f>
        <v>4956592</v>
      </c>
      <c r="I53" s="128"/>
      <c r="J53" s="97"/>
    </row>
    <row r="54" spans="1:10" x14ac:dyDescent="0.3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x14ac:dyDescent="0.3">
      <c r="A55" s="69" t="s">
        <v>191</v>
      </c>
      <c r="B55" s="71"/>
      <c r="C55" s="68" t="s">
        <v>176</v>
      </c>
      <c r="D55" s="131">
        <f>E55+H55+F55</f>
        <v>250000</v>
      </c>
      <c r="E55" s="126">
        <v>150000</v>
      </c>
      <c r="F55" s="126">
        <v>0</v>
      </c>
      <c r="G55" s="67"/>
      <c r="H55" s="126">
        <v>100000</v>
      </c>
      <c r="I55" s="67"/>
      <c r="J55" s="99"/>
    </row>
    <row r="56" spans="1:10" x14ac:dyDescent="0.3">
      <c r="A56" s="69" t="s">
        <v>192</v>
      </c>
      <c r="B56" s="71"/>
      <c r="C56" s="68" t="s">
        <v>176</v>
      </c>
      <c r="D56" s="131">
        <f>E56+H56+F56</f>
        <v>1982450</v>
      </c>
      <c r="E56" s="126">
        <v>1482450</v>
      </c>
      <c r="F56" s="126">
        <v>0</v>
      </c>
      <c r="G56" s="67"/>
      <c r="H56" s="126">
        <v>500000</v>
      </c>
      <c r="I56" s="67"/>
      <c r="J56" s="99"/>
    </row>
    <row r="57" spans="1:10" s="72" customFormat="1" x14ac:dyDescent="0.3">
      <c r="A57" s="104" t="s">
        <v>200</v>
      </c>
      <c r="B57" s="129">
        <v>2606</v>
      </c>
      <c r="C57" s="130" t="s">
        <v>176</v>
      </c>
      <c r="D57" s="132">
        <f>E57+H57+F57</f>
        <v>6231300</v>
      </c>
      <c r="E57" s="128">
        <v>3244574</v>
      </c>
      <c r="F57" s="128">
        <v>0</v>
      </c>
      <c r="G57" s="128"/>
      <c r="H57" s="128">
        <v>2986726</v>
      </c>
      <c r="I57" s="113"/>
      <c r="J57" s="99"/>
    </row>
    <row r="58" spans="1:10" x14ac:dyDescent="0.3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x14ac:dyDescent="0.3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x14ac:dyDescent="0.3">
      <c r="A60" s="117" t="s">
        <v>155</v>
      </c>
      <c r="B60" s="111">
        <v>2607</v>
      </c>
      <c r="C60" s="161">
        <v>244</v>
      </c>
      <c r="D60" s="132">
        <f>E60+F60+G60+H60</f>
        <v>2500000</v>
      </c>
      <c r="E60" s="128">
        <v>0</v>
      </c>
      <c r="F60" s="128">
        <v>0</v>
      </c>
      <c r="G60" s="128"/>
      <c r="H60" s="128">
        <v>2500000</v>
      </c>
      <c r="I60" s="128"/>
      <c r="J60" s="97"/>
    </row>
    <row r="61" spans="1:10" ht="26.4" x14ac:dyDescent="0.3">
      <c r="A61" s="117" t="s">
        <v>202</v>
      </c>
      <c r="B61" s="111">
        <v>2608</v>
      </c>
      <c r="C61" s="112" t="s">
        <v>177</v>
      </c>
      <c r="D61" s="132">
        <f>E61+H61+F61</f>
        <v>31763549</v>
      </c>
      <c r="E61" s="113">
        <f>SUM(E63:E66)+1494257+1500+986962</f>
        <v>16162719</v>
      </c>
      <c r="F61" s="113">
        <f>SUM(F63:F66)</f>
        <v>0</v>
      </c>
      <c r="G61" s="113"/>
      <c r="H61" s="113">
        <f>SUM(H63:H66)+1471830-141000</f>
        <v>15600830</v>
      </c>
      <c r="I61" s="113"/>
      <c r="J61" s="99"/>
    </row>
    <row r="62" spans="1:10" x14ac:dyDescent="0.3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x14ac:dyDescent="0.3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x14ac:dyDescent="0.3">
      <c r="A64" s="75" t="s">
        <v>167</v>
      </c>
      <c r="B64" s="35"/>
      <c r="C64" s="44" t="s">
        <v>177</v>
      </c>
      <c r="D64" s="131">
        <f>E64+H64</f>
        <v>21700000</v>
      </c>
      <c r="E64" s="61">
        <v>10700000</v>
      </c>
      <c r="F64" s="124"/>
      <c r="G64" s="61"/>
      <c r="H64" s="61">
        <v>11000000</v>
      </c>
      <c r="I64" s="61"/>
      <c r="J64" s="97"/>
    </row>
    <row r="65" spans="1:10" x14ac:dyDescent="0.3">
      <c r="A65" s="75" t="s">
        <v>166</v>
      </c>
      <c r="B65" s="35"/>
      <c r="C65" s="44" t="s">
        <v>177</v>
      </c>
      <c r="D65" s="131">
        <f>E65+H65</f>
        <v>350000</v>
      </c>
      <c r="E65" s="61">
        <v>280000</v>
      </c>
      <c r="F65" s="124"/>
      <c r="G65" s="61"/>
      <c r="H65" s="124">
        <v>70000</v>
      </c>
      <c r="I65" s="61"/>
      <c r="J65" s="97"/>
    </row>
    <row r="66" spans="1:10" x14ac:dyDescent="0.3">
      <c r="A66" s="75" t="s">
        <v>168</v>
      </c>
      <c r="B66" s="35"/>
      <c r="C66" s="44" t="s">
        <v>177</v>
      </c>
      <c r="D66" s="131">
        <f>E66+H66</f>
        <v>3000000</v>
      </c>
      <c r="E66" s="61">
        <v>1500000</v>
      </c>
      <c r="F66" s="124"/>
      <c r="G66" s="61"/>
      <c r="H66" s="124">
        <v>1500000</v>
      </c>
      <c r="I66" s="61"/>
      <c r="J66" s="97"/>
    </row>
    <row r="67" spans="1:10" x14ac:dyDescent="0.3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x14ac:dyDescent="0.3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3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x14ac:dyDescent="0.3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x14ac:dyDescent="0.3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x14ac:dyDescent="0.3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3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x14ac:dyDescent="0.3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x14ac:dyDescent="0.3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x14ac:dyDescent="0.3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x14ac:dyDescent="0.3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3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3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3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3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3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3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3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3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3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3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3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3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3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3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3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3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3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3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3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3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3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3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zoomScale="90" zoomScaleNormal="100" zoomScaleSheetLayoutView="90" workbookViewId="0">
      <selection activeCell="E31" sqref="E31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5" width="17" style="7" customWidth="1"/>
    <col min="6" max="6" width="18.5546875" style="7" customWidth="1"/>
    <col min="7" max="7" width="14.44140625" style="7" customWidth="1"/>
    <col min="8" max="8" width="13.44140625" style="7" customWidth="1"/>
    <col min="9" max="9" width="10.33203125" style="7" customWidth="1"/>
    <col min="10" max="10" width="13.44140625" style="7" customWidth="1"/>
    <col min="11" max="11" width="21.88671875" style="7" customWidth="1"/>
    <col min="12" max="12" width="15.5546875" style="7" customWidth="1"/>
    <col min="13" max="13" width="9.88671875" style="7" bestFit="1" customWidth="1"/>
    <col min="14" max="14" width="10.33203125" style="7" customWidth="1"/>
    <col min="15" max="16384" width="9.109375" style="7"/>
  </cols>
  <sheetData>
    <row r="1" spans="1:12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3">
      <c r="A2" s="208" t="s">
        <v>224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3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3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3">
      <c r="A9" s="57" t="s">
        <v>6</v>
      </c>
      <c r="B9" s="58">
        <v>100</v>
      </c>
      <c r="C9" s="58" t="s">
        <v>7</v>
      </c>
      <c r="D9" s="62">
        <f>D12+D20+D23+D18+D11</f>
        <v>315582450</v>
      </c>
      <c r="E9" s="62">
        <f>E12</f>
        <v>280349500</v>
      </c>
      <c r="F9" s="62">
        <f>F20</f>
        <v>0</v>
      </c>
      <c r="G9" s="62"/>
      <c r="H9" s="62">
        <f>H11+H12+H18+H19+H21+H23</f>
        <v>35232950</v>
      </c>
      <c r="I9" s="62"/>
      <c r="J9" s="93">
        <f>E9+F9+H9-D9</f>
        <v>0</v>
      </c>
      <c r="K9" s="80">
        <f>D9+D76</f>
        <v>315582450</v>
      </c>
      <c r="L9" s="80">
        <f>K9-D27</f>
        <v>0</v>
      </c>
    </row>
    <row r="10" spans="1:12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x14ac:dyDescent="0.3">
      <c r="A11" s="54" t="s">
        <v>70</v>
      </c>
      <c r="B11" s="55">
        <v>110</v>
      </c>
      <c r="C11" s="55">
        <v>120</v>
      </c>
      <c r="D11" s="133">
        <f>H11</f>
        <v>316450</v>
      </c>
      <c r="E11" s="55" t="s">
        <v>7</v>
      </c>
      <c r="F11" s="55" t="s">
        <v>7</v>
      </c>
      <c r="G11" s="55" t="s">
        <v>7</v>
      </c>
      <c r="H11" s="63">
        <v>316450</v>
      </c>
      <c r="I11" s="55" t="s">
        <v>7</v>
      </c>
      <c r="J11" s="94"/>
    </row>
    <row r="12" spans="1:12" x14ac:dyDescent="0.3">
      <c r="A12" s="54" t="s">
        <v>156</v>
      </c>
      <c r="B12" s="55">
        <v>120</v>
      </c>
      <c r="C12" s="55">
        <v>130</v>
      </c>
      <c r="D12" s="133">
        <f>E12+H12</f>
        <v>315079000</v>
      </c>
      <c r="E12" s="63">
        <f>E14+E15</f>
        <v>280349500</v>
      </c>
      <c r="F12" s="55" t="s">
        <v>7</v>
      </c>
      <c r="G12" s="55" t="s">
        <v>7</v>
      </c>
      <c r="H12" s="63">
        <f>H14</f>
        <v>34729500</v>
      </c>
      <c r="I12" s="55"/>
      <c r="J12" s="143" t="s">
        <v>208</v>
      </c>
      <c r="K12" s="80">
        <f>E12+E76</f>
        <v>280349500</v>
      </c>
      <c r="L12" s="80">
        <f>K12-E27</f>
        <v>0</v>
      </c>
    </row>
    <row r="13" spans="1:12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x14ac:dyDescent="0.3">
      <c r="A14" s="32" t="s">
        <v>219</v>
      </c>
      <c r="B14" s="33">
        <v>1201</v>
      </c>
      <c r="C14" s="34">
        <v>130</v>
      </c>
      <c r="D14" s="135">
        <f>E14+H14</f>
        <v>309106400</v>
      </c>
      <c r="E14" s="64">
        <f>280349500-5972600</f>
        <v>274376900</v>
      </c>
      <c r="F14" s="34" t="s">
        <v>7</v>
      </c>
      <c r="G14" s="34" t="s">
        <v>7</v>
      </c>
      <c r="H14" s="64">
        <v>34729500</v>
      </c>
      <c r="I14" s="102">
        <v>0</v>
      </c>
      <c r="J14" s="144" t="s">
        <v>209</v>
      </c>
      <c r="K14" s="80">
        <f>H9+H76</f>
        <v>35232950</v>
      </c>
      <c r="L14" s="83">
        <f>K14-H27</f>
        <v>0</v>
      </c>
    </row>
    <row r="15" spans="1:12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5972600</v>
      </c>
      <c r="E15" s="124">
        <f>5304694+672046+5812-9952</f>
        <v>5972600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3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6.4" x14ac:dyDescent="0.3">
      <c r="A18" s="56" t="s">
        <v>71</v>
      </c>
      <c r="B18" s="55">
        <v>130</v>
      </c>
      <c r="C18" s="55">
        <v>140</v>
      </c>
      <c r="D18" s="133">
        <f>H18</f>
        <v>137000</v>
      </c>
      <c r="E18" s="55" t="s">
        <v>7</v>
      </c>
      <c r="F18" s="55" t="s">
        <v>7</v>
      </c>
      <c r="G18" s="55" t="s">
        <v>7</v>
      </c>
      <c r="H18" s="63">
        <v>137000</v>
      </c>
      <c r="I18" s="55" t="s">
        <v>7</v>
      </c>
      <c r="J18" s="94"/>
    </row>
    <row r="19" spans="1:14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x14ac:dyDescent="0.3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x14ac:dyDescent="0.3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x14ac:dyDescent="0.3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3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6.4" x14ac:dyDescent="0.3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x14ac:dyDescent="0.3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x14ac:dyDescent="0.3">
      <c r="A27" s="108" t="s">
        <v>69</v>
      </c>
      <c r="B27" s="109">
        <v>200</v>
      </c>
      <c r="C27" s="109" t="s">
        <v>7</v>
      </c>
      <c r="D27" s="141">
        <f>E27+H27+F27</f>
        <v>315582450</v>
      </c>
      <c r="E27" s="110">
        <f>E29+E36+E38+E44+E47</f>
        <v>280349500</v>
      </c>
      <c r="F27" s="110">
        <f>F29+F38+F47</f>
        <v>0</v>
      </c>
      <c r="G27" s="110">
        <f t="shared" ref="G27" si="0">G29+G38+G47</f>
        <v>0</v>
      </c>
      <c r="H27" s="110">
        <f>H29+H38+H47</f>
        <v>35232950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3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3">
      <c r="A29" s="54" t="s">
        <v>80</v>
      </c>
      <c r="B29" s="55">
        <v>210</v>
      </c>
      <c r="C29" s="74">
        <v>100</v>
      </c>
      <c r="D29" s="133">
        <f>E29+F29+H29</f>
        <v>241847004</v>
      </c>
      <c r="E29" s="63">
        <f>SUM(E31:E33)</f>
        <v>241847004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  <c r="J29" s="98"/>
      <c r="K29" s="80"/>
    </row>
    <row r="30" spans="1:14" ht="14.25" customHeight="1" x14ac:dyDescent="0.3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x14ac:dyDescent="0.3">
      <c r="A31" s="20" t="s">
        <v>157</v>
      </c>
      <c r="B31" s="35">
        <v>2101</v>
      </c>
      <c r="C31" s="44" t="s">
        <v>173</v>
      </c>
      <c r="D31" s="131">
        <f>E31+F31+H31+I31</f>
        <v>185533080</v>
      </c>
      <c r="E31" s="61">
        <v>185533080</v>
      </c>
      <c r="F31" s="61"/>
      <c r="G31" s="61"/>
      <c r="H31" s="61">
        <v>0</v>
      </c>
      <c r="I31" s="61"/>
      <c r="J31" s="97"/>
    </row>
    <row r="32" spans="1:14" x14ac:dyDescent="0.3">
      <c r="A32" s="20" t="s">
        <v>158</v>
      </c>
      <c r="B32" s="35">
        <v>2102</v>
      </c>
      <c r="C32" s="44" t="s">
        <v>172</v>
      </c>
      <c r="D32" s="131">
        <f>E32+F32+H32+I32</f>
        <v>654000</v>
      </c>
      <c r="E32" s="124">
        <v>654000</v>
      </c>
      <c r="F32" s="61">
        <v>0</v>
      </c>
      <c r="G32" s="61"/>
      <c r="H32" s="61">
        <v>0</v>
      </c>
      <c r="I32" s="61"/>
      <c r="J32" s="97"/>
    </row>
    <row r="33" spans="1:12" x14ac:dyDescent="0.3">
      <c r="A33" s="20" t="s">
        <v>159</v>
      </c>
      <c r="B33" s="35">
        <v>2103</v>
      </c>
      <c r="C33" s="44" t="s">
        <v>174</v>
      </c>
      <c r="D33" s="131">
        <f>E33+F33+H33+I33</f>
        <v>55659924</v>
      </c>
      <c r="E33" s="61">
        <v>55659924</v>
      </c>
      <c r="F33" s="61"/>
      <c r="G33" s="61"/>
      <c r="H33" s="61">
        <v>0</v>
      </c>
      <c r="I33" s="61"/>
      <c r="J33" s="97"/>
    </row>
    <row r="34" spans="1:12" x14ac:dyDescent="0.3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x14ac:dyDescent="0.3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9.6" x14ac:dyDescent="0.3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x14ac:dyDescent="0.3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x14ac:dyDescent="0.3">
      <c r="A38" s="54" t="s">
        <v>82</v>
      </c>
      <c r="B38" s="55">
        <v>230</v>
      </c>
      <c r="C38" s="74">
        <v>850</v>
      </c>
      <c r="D38" s="133">
        <f>E38+H38</f>
        <v>6060979</v>
      </c>
      <c r="E38" s="63">
        <f>E40+E41+E42</f>
        <v>6051027</v>
      </c>
      <c r="F38" s="63">
        <v>0</v>
      </c>
      <c r="G38" s="63">
        <v>0</v>
      </c>
      <c r="H38" s="63">
        <f>H40+H41+H42</f>
        <v>9952</v>
      </c>
      <c r="I38" s="63">
        <v>0</v>
      </c>
      <c r="J38" s="98"/>
    </row>
    <row r="39" spans="1:12" x14ac:dyDescent="0.3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x14ac:dyDescent="0.3">
      <c r="A40" s="20" t="s">
        <v>243</v>
      </c>
      <c r="B40" s="35">
        <v>2301</v>
      </c>
      <c r="C40" s="84" t="s">
        <v>178</v>
      </c>
      <c r="D40" s="131">
        <f>E40+H40</f>
        <v>5976740</v>
      </c>
      <c r="E40" s="124">
        <f>(5304694-9952)+672046</f>
        <v>5966788</v>
      </c>
      <c r="F40" s="61"/>
      <c r="G40" s="61"/>
      <c r="H40" s="61">
        <v>9952</v>
      </c>
      <c r="I40" s="61"/>
      <c r="J40" s="97"/>
    </row>
    <row r="41" spans="1:12" x14ac:dyDescent="0.3">
      <c r="A41" s="20" t="s">
        <v>242</v>
      </c>
      <c r="B41" s="35">
        <v>2302</v>
      </c>
      <c r="C41" s="84" t="s">
        <v>179</v>
      </c>
      <c r="D41" s="131">
        <f>E41+H41</f>
        <v>14239</v>
      </c>
      <c r="E41" s="124">
        <f>5812+8427</f>
        <v>14239</v>
      </c>
      <c r="F41" s="61"/>
      <c r="G41" s="61"/>
      <c r="H41" s="61">
        <v>0</v>
      </c>
      <c r="I41" s="61"/>
      <c r="J41" s="97"/>
      <c r="K41" s="7" t="s">
        <v>239</v>
      </c>
    </row>
    <row r="42" spans="1:12" ht="26.4" x14ac:dyDescent="0.3">
      <c r="A42" s="19" t="s">
        <v>240</v>
      </c>
      <c r="B42" s="35">
        <v>2303</v>
      </c>
      <c r="C42" s="79">
        <v>853</v>
      </c>
      <c r="D42" s="131">
        <f>E42+H42</f>
        <v>70000</v>
      </c>
      <c r="E42" s="61">
        <v>70000</v>
      </c>
      <c r="F42" s="61"/>
      <c r="G42" s="61"/>
      <c r="H42" s="61">
        <v>0</v>
      </c>
      <c r="I42" s="61"/>
      <c r="J42" s="97"/>
      <c r="K42" s="166" t="s">
        <v>238</v>
      </c>
    </row>
    <row r="43" spans="1:12" x14ac:dyDescent="0.3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6.4" x14ac:dyDescent="0.3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x14ac:dyDescent="0.3">
      <c r="A45" s="20" t="s">
        <v>217</v>
      </c>
      <c r="B45" s="35">
        <v>2501</v>
      </c>
      <c r="C45" s="61"/>
      <c r="D45" s="131"/>
      <c r="E45" s="61"/>
      <c r="F45" s="61"/>
      <c r="G45" s="61"/>
      <c r="H45" s="61"/>
      <c r="I45" s="61"/>
      <c r="J45" s="97"/>
    </row>
    <row r="46" spans="1:12" x14ac:dyDescent="0.3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x14ac:dyDescent="0.3">
      <c r="A47" s="54" t="s">
        <v>85</v>
      </c>
      <c r="B47" s="55">
        <v>260</v>
      </c>
      <c r="C47" s="73" t="s">
        <v>175</v>
      </c>
      <c r="D47" s="160">
        <f>D49+D50+D51+D53+D59+D60+D61+D57</f>
        <v>67674467</v>
      </c>
      <c r="E47" s="133">
        <f>E49+E50+E51+E53+E59+E60+E61+E57</f>
        <v>32451469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35222998</v>
      </c>
      <c r="I47" s="133">
        <f t="shared" si="2"/>
        <v>0</v>
      </c>
      <c r="J47" s="98"/>
      <c r="L47" s="80"/>
    </row>
    <row r="48" spans="1:12" x14ac:dyDescent="0.3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x14ac:dyDescent="0.3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x14ac:dyDescent="0.3">
      <c r="A50" s="162" t="s">
        <v>163</v>
      </c>
      <c r="B50" s="129">
        <v>2602</v>
      </c>
      <c r="C50" s="130" t="s">
        <v>176</v>
      </c>
      <c r="D50" s="132">
        <f>E50+H50</f>
        <v>550000</v>
      </c>
      <c r="E50" s="113">
        <v>0</v>
      </c>
      <c r="F50" s="113"/>
      <c r="G50" s="113"/>
      <c r="H50" s="113">
        <v>550000</v>
      </c>
      <c r="I50" s="113"/>
      <c r="J50" s="99"/>
    </row>
    <row r="51" spans="1:10" x14ac:dyDescent="0.3">
      <c r="A51" s="69" t="s">
        <v>164</v>
      </c>
      <c r="B51" s="71">
        <v>2603</v>
      </c>
      <c r="C51" s="68" t="s">
        <v>176</v>
      </c>
      <c r="D51" s="131">
        <f>E51+H51</f>
        <v>14409130</v>
      </c>
      <c r="E51" s="67">
        <f>6725400+400000</f>
        <v>7125400</v>
      </c>
      <c r="F51" s="67"/>
      <c r="G51" s="67"/>
      <c r="H51" s="126">
        <v>7283730</v>
      </c>
      <c r="I51" s="67"/>
      <c r="J51" s="99"/>
    </row>
    <row r="52" spans="1:10" x14ac:dyDescent="0.3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x14ac:dyDescent="0.3">
      <c r="A53" s="104" t="s">
        <v>201</v>
      </c>
      <c r="B53" s="111">
        <v>2605</v>
      </c>
      <c r="C53" s="112"/>
      <c r="D53" s="132">
        <f>E53+H53+F53</f>
        <v>13355712</v>
      </c>
      <c r="E53" s="128">
        <f>3502331.75+(E56+E55)+226073.36+27000+2868258.89-2000000</f>
        <v>6156114</v>
      </c>
      <c r="F53" s="113">
        <f>0+(F56+F55)+0</f>
        <v>0</v>
      </c>
      <c r="G53" s="128"/>
      <c r="H53" s="128">
        <f>3805592+(H55+H56)</f>
        <v>7199598</v>
      </c>
      <c r="I53" s="128"/>
      <c r="J53" s="97"/>
    </row>
    <row r="54" spans="1:10" x14ac:dyDescent="0.3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x14ac:dyDescent="0.3">
      <c r="A55" s="69" t="s">
        <v>191</v>
      </c>
      <c r="B55" s="71"/>
      <c r="C55" s="68" t="s">
        <v>176</v>
      </c>
      <c r="D55" s="131">
        <f>E55+H55+F55</f>
        <v>150000</v>
      </c>
      <c r="E55" s="126">
        <v>50000</v>
      </c>
      <c r="F55" s="126">
        <v>0</v>
      </c>
      <c r="G55" s="67"/>
      <c r="H55" s="126">
        <v>100000</v>
      </c>
      <c r="I55" s="67"/>
      <c r="J55" s="99"/>
    </row>
    <row r="56" spans="1:10" x14ac:dyDescent="0.3">
      <c r="A56" s="69" t="s">
        <v>192</v>
      </c>
      <c r="B56" s="71"/>
      <c r="C56" s="68" t="s">
        <v>176</v>
      </c>
      <c r="D56" s="131">
        <f>E56+H56+F56</f>
        <v>4776456</v>
      </c>
      <c r="E56" s="126">
        <v>1482450</v>
      </c>
      <c r="F56" s="126">
        <v>0</v>
      </c>
      <c r="G56" s="67"/>
      <c r="H56" s="126">
        <f>4260333-966327</f>
        <v>3294006</v>
      </c>
      <c r="I56" s="67"/>
      <c r="J56" s="99"/>
    </row>
    <row r="57" spans="1:10" s="72" customFormat="1" x14ac:dyDescent="0.3">
      <c r="A57" s="104" t="s">
        <v>200</v>
      </c>
      <c r="B57" s="129">
        <v>2606</v>
      </c>
      <c r="C57" s="130" t="s">
        <v>176</v>
      </c>
      <c r="D57" s="132">
        <f>E57+H57+F57</f>
        <v>5644233</v>
      </c>
      <c r="E57" s="128">
        <v>3244574</v>
      </c>
      <c r="F57" s="128">
        <v>0</v>
      </c>
      <c r="G57" s="128"/>
      <c r="H57" s="128">
        <f>2200000+199569+90</f>
        <v>2399659</v>
      </c>
      <c r="I57" s="113"/>
      <c r="J57" s="99"/>
    </row>
    <row r="58" spans="1:10" x14ac:dyDescent="0.3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x14ac:dyDescent="0.3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x14ac:dyDescent="0.3">
      <c r="A60" s="117" t="s">
        <v>155</v>
      </c>
      <c r="B60" s="111">
        <v>2607</v>
      </c>
      <c r="C60" s="161">
        <v>244</v>
      </c>
      <c r="D60" s="159">
        <f>E60+F60+G60+H60</f>
        <v>1770000</v>
      </c>
      <c r="E60" s="132">
        <v>0</v>
      </c>
      <c r="F60" s="132">
        <v>0</v>
      </c>
      <c r="G60" s="132"/>
      <c r="H60" s="132">
        <f>2270000-500000</f>
        <v>1770000</v>
      </c>
      <c r="I60" s="128"/>
      <c r="J60" s="97"/>
    </row>
    <row r="61" spans="1:10" ht="26.4" x14ac:dyDescent="0.3">
      <c r="A61" s="117" t="s">
        <v>202</v>
      </c>
      <c r="B61" s="111">
        <v>2608</v>
      </c>
      <c r="C61" s="112" t="s">
        <v>177</v>
      </c>
      <c r="D61" s="159">
        <f>E61+H61+F61</f>
        <v>31675392</v>
      </c>
      <c r="E61" s="132">
        <f>SUM(E63:E66)+1975381</f>
        <v>15655381</v>
      </c>
      <c r="F61" s="132">
        <f>SUM(F63:F66)</f>
        <v>0</v>
      </c>
      <c r="G61" s="132"/>
      <c r="H61" s="132">
        <f>SUM(H63:H66)+791011-141000</f>
        <v>16020011</v>
      </c>
      <c r="I61" s="113"/>
      <c r="J61" s="99"/>
    </row>
    <row r="62" spans="1:10" x14ac:dyDescent="0.3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x14ac:dyDescent="0.3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x14ac:dyDescent="0.3">
      <c r="A64" s="75" t="s">
        <v>167</v>
      </c>
      <c r="B64" s="35"/>
      <c r="C64" s="44" t="s">
        <v>177</v>
      </c>
      <c r="D64" s="131">
        <f>E64+H64</f>
        <v>22700000</v>
      </c>
      <c r="E64" s="124">
        <v>10700000</v>
      </c>
      <c r="F64" s="124"/>
      <c r="G64" s="61"/>
      <c r="H64" s="124">
        <v>12000000</v>
      </c>
      <c r="I64" s="61"/>
      <c r="J64" s="97"/>
    </row>
    <row r="65" spans="1:10" x14ac:dyDescent="0.3">
      <c r="A65" s="75" t="s">
        <v>166</v>
      </c>
      <c r="B65" s="35"/>
      <c r="C65" s="44" t="s">
        <v>177</v>
      </c>
      <c r="D65" s="131">
        <f>E65+H65</f>
        <v>350000</v>
      </c>
      <c r="E65" s="124">
        <v>280000</v>
      </c>
      <c r="F65" s="124"/>
      <c r="G65" s="61"/>
      <c r="H65" s="124">
        <v>70000</v>
      </c>
      <c r="I65" s="61"/>
      <c r="J65" s="97"/>
    </row>
    <row r="66" spans="1:10" x14ac:dyDescent="0.3">
      <c r="A66" s="75" t="s">
        <v>168</v>
      </c>
      <c r="B66" s="35"/>
      <c r="C66" s="44" t="s">
        <v>177</v>
      </c>
      <c r="D66" s="131">
        <f>E66+H66</f>
        <v>3100000</v>
      </c>
      <c r="E66" s="124">
        <v>1500000</v>
      </c>
      <c r="F66" s="124"/>
      <c r="G66" s="61"/>
      <c r="H66" s="124">
        <v>1600000</v>
      </c>
      <c r="I66" s="61"/>
      <c r="J66" s="97"/>
    </row>
    <row r="67" spans="1:10" x14ac:dyDescent="0.3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x14ac:dyDescent="0.3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3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x14ac:dyDescent="0.3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x14ac:dyDescent="0.3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x14ac:dyDescent="0.3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3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x14ac:dyDescent="0.3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x14ac:dyDescent="0.3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x14ac:dyDescent="0.3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x14ac:dyDescent="0.3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3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3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3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3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3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3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3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3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3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3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3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3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3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3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3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3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3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3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3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3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3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3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09375" defaultRowHeight="13.2" x14ac:dyDescent="0.3"/>
  <cols>
    <col min="1" max="1" width="36" style="8" customWidth="1"/>
    <col min="2" max="2" width="6.44140625" style="8" customWidth="1"/>
    <col min="3" max="3" width="8.33203125" style="8" customWidth="1"/>
    <col min="4" max="12" width="11.44140625" style="8" customWidth="1"/>
    <col min="13" max="16384" width="9.109375" style="8"/>
  </cols>
  <sheetData>
    <row r="1" spans="1:12" ht="21" customHeight="1" x14ac:dyDescent="0.3">
      <c r="A1" s="207" t="s">
        <v>145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18.75" customHeight="1" x14ac:dyDescent="0.3">
      <c r="A2" s="208" t="s">
        <v>225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7.5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3">
      <c r="A4" s="212" t="s">
        <v>0</v>
      </c>
      <c r="B4" s="212" t="s">
        <v>1</v>
      </c>
      <c r="C4" s="212" t="s">
        <v>13</v>
      </c>
      <c r="D4" s="210" t="s">
        <v>14</v>
      </c>
      <c r="E4" s="222"/>
      <c r="F4" s="222"/>
      <c r="G4" s="222"/>
      <c r="H4" s="222"/>
      <c r="I4" s="222"/>
      <c r="J4" s="222"/>
      <c r="K4" s="222"/>
      <c r="L4" s="211"/>
    </row>
    <row r="5" spans="1:12" x14ac:dyDescent="0.3">
      <c r="A5" s="212"/>
      <c r="B5" s="212"/>
      <c r="C5" s="212"/>
      <c r="D5" s="215" t="s">
        <v>91</v>
      </c>
      <c r="E5" s="216"/>
      <c r="F5" s="217"/>
      <c r="G5" s="223" t="s">
        <v>4</v>
      </c>
      <c r="H5" s="224"/>
      <c r="I5" s="224"/>
      <c r="J5" s="224"/>
      <c r="K5" s="224"/>
      <c r="L5" s="225"/>
    </row>
    <row r="6" spans="1:12" ht="84.75" customHeight="1" x14ac:dyDescent="0.3">
      <c r="A6" s="212"/>
      <c r="B6" s="212"/>
      <c r="C6" s="212"/>
      <c r="D6" s="218"/>
      <c r="E6" s="219"/>
      <c r="F6" s="220"/>
      <c r="G6" s="210" t="s">
        <v>15</v>
      </c>
      <c r="H6" s="222"/>
      <c r="I6" s="211"/>
      <c r="J6" s="210" t="s">
        <v>16</v>
      </c>
      <c r="K6" s="222"/>
      <c r="L6" s="211"/>
    </row>
    <row r="7" spans="1:12" ht="52.8" x14ac:dyDescent="0.3">
      <c r="A7" s="212"/>
      <c r="B7" s="212"/>
      <c r="C7" s="212"/>
      <c r="D7" s="13" t="s">
        <v>230</v>
      </c>
      <c r="E7" s="13" t="s">
        <v>210</v>
      </c>
      <c r="F7" s="13" t="s">
        <v>231</v>
      </c>
      <c r="G7" s="13" t="s">
        <v>230</v>
      </c>
      <c r="H7" s="13" t="s">
        <v>210</v>
      </c>
      <c r="I7" s="13" t="s">
        <v>231</v>
      </c>
      <c r="J7" s="13" t="s">
        <v>230</v>
      </c>
      <c r="K7" s="13" t="s">
        <v>210</v>
      </c>
      <c r="L7" s="13" t="s">
        <v>231</v>
      </c>
    </row>
    <row r="8" spans="1:12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6.4" x14ac:dyDescent="0.3">
      <c r="A9" s="37" t="s">
        <v>17</v>
      </c>
      <c r="B9" s="43" t="s">
        <v>18</v>
      </c>
      <c r="C9" s="43" t="s">
        <v>7</v>
      </c>
      <c r="D9" s="76">
        <f>D11+D13</f>
        <v>67684787.849999994</v>
      </c>
      <c r="E9" s="76">
        <f t="shared" ref="E9:F9" si="0">E11+E13</f>
        <v>67824525</v>
      </c>
      <c r="F9" s="76">
        <f t="shared" si="0"/>
        <v>67674467</v>
      </c>
      <c r="G9" s="76">
        <f>'Стр 4-5 (2018)'!D48</f>
        <v>67684787.849999994</v>
      </c>
      <c r="H9" s="76">
        <f>'Стр 4-5 (2019)'!D47</f>
        <v>67824525</v>
      </c>
      <c r="I9" s="76">
        <f>'Стр 4-5 (2020)'!D47</f>
        <v>67674467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3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6.4" x14ac:dyDescent="0.3">
      <c r="A11" s="20" t="s">
        <v>92</v>
      </c>
      <c r="B11" s="44">
        <v>1001</v>
      </c>
      <c r="C11" s="44" t="s">
        <v>7</v>
      </c>
      <c r="D11" s="77">
        <v>28438387.079999998</v>
      </c>
      <c r="E11" s="77">
        <f>H11+K11</f>
        <v>0</v>
      </c>
      <c r="F11" s="77">
        <f>I11+L11</f>
        <v>0</v>
      </c>
      <c r="G11" s="77">
        <v>28438387.079999998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3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6.4" x14ac:dyDescent="0.3">
      <c r="A13" s="20" t="s">
        <v>19</v>
      </c>
      <c r="B13" s="44">
        <v>2001</v>
      </c>
      <c r="C13" s="44"/>
      <c r="D13" s="77">
        <f>G13+J13</f>
        <v>39246400.769999996</v>
      </c>
      <c r="E13" s="77">
        <f t="shared" si="2"/>
        <v>67824525</v>
      </c>
      <c r="F13" s="77">
        <f t="shared" si="3"/>
        <v>67674467</v>
      </c>
      <c r="G13" s="77">
        <f>G9-G11</f>
        <v>39246400.769999996</v>
      </c>
      <c r="H13" s="77">
        <f>H9-H11</f>
        <v>67824525</v>
      </c>
      <c r="I13" s="77">
        <f>I9-I11</f>
        <v>67674467</v>
      </c>
      <c r="J13" s="77">
        <v>0</v>
      </c>
      <c r="K13" s="77">
        <v>0</v>
      </c>
      <c r="L13" s="77">
        <v>0</v>
      </c>
    </row>
    <row r="14" spans="1:12" x14ac:dyDescent="0.3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3">
      <c r="A15" s="221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7" sqref="C7"/>
    </sheetView>
  </sheetViews>
  <sheetFormatPr defaultColWidth="9.109375" defaultRowHeight="13.2" x14ac:dyDescent="0.3"/>
  <cols>
    <col min="1" max="1" width="45" style="2" customWidth="1"/>
    <col min="2" max="2" width="12.109375" style="8" customWidth="1"/>
    <col min="3" max="3" width="31.6640625" style="8" customWidth="1"/>
    <col min="4" max="16384" width="9.109375" style="8"/>
  </cols>
  <sheetData>
    <row r="1" spans="1:3" ht="30.75" customHeight="1" x14ac:dyDescent="0.3">
      <c r="A1" s="207" t="s">
        <v>146</v>
      </c>
      <c r="B1" s="207"/>
      <c r="C1" s="207"/>
    </row>
    <row r="2" spans="1:3" x14ac:dyDescent="0.3">
      <c r="A2" s="226" t="s">
        <v>211</v>
      </c>
      <c r="B2" s="226"/>
      <c r="C2" s="226"/>
    </row>
    <row r="3" spans="1:3" x14ac:dyDescent="0.3">
      <c r="A3" s="227" t="s">
        <v>94</v>
      </c>
      <c r="B3" s="227"/>
      <c r="C3" s="227"/>
    </row>
    <row r="4" spans="1:3" x14ac:dyDescent="0.3">
      <c r="A4" s="15"/>
      <c r="B4" s="16"/>
      <c r="C4" s="16"/>
    </row>
    <row r="5" spans="1:3" ht="35.25" customHeight="1" x14ac:dyDescent="0.3">
      <c r="A5" s="11" t="s">
        <v>0</v>
      </c>
      <c r="B5" s="10" t="s">
        <v>1</v>
      </c>
      <c r="C5" s="11" t="s">
        <v>20</v>
      </c>
    </row>
    <row r="6" spans="1:3" x14ac:dyDescent="0.3">
      <c r="A6" s="39">
        <v>1</v>
      </c>
      <c r="B6" s="35">
        <v>2</v>
      </c>
      <c r="C6" s="35">
        <v>3</v>
      </c>
    </row>
    <row r="7" spans="1:3" x14ac:dyDescent="0.3">
      <c r="A7" s="20" t="s">
        <v>11</v>
      </c>
      <c r="B7" s="44" t="s">
        <v>21</v>
      </c>
      <c r="C7" s="61">
        <v>473077.07</v>
      </c>
    </row>
    <row r="8" spans="1:3" x14ac:dyDescent="0.3">
      <c r="A8" s="20" t="s">
        <v>12</v>
      </c>
      <c r="B8" s="44" t="s">
        <v>23</v>
      </c>
      <c r="C8" s="61"/>
    </row>
    <row r="9" spans="1:3" x14ac:dyDescent="0.3">
      <c r="A9" s="20" t="s">
        <v>22</v>
      </c>
      <c r="B9" s="44" t="s">
        <v>24</v>
      </c>
      <c r="C9" s="61"/>
    </row>
    <row r="10" spans="1:3" x14ac:dyDescent="0.3">
      <c r="A10" s="20"/>
      <c r="B10" s="44"/>
      <c r="C10" s="61"/>
    </row>
    <row r="11" spans="1:3" x14ac:dyDescent="0.3">
      <c r="A11" s="20" t="s">
        <v>25</v>
      </c>
      <c r="B11" s="44" t="s">
        <v>26</v>
      </c>
      <c r="C11" s="61"/>
    </row>
    <row r="12" spans="1:3" x14ac:dyDescent="0.3">
      <c r="A12" s="20"/>
      <c r="B12" s="44"/>
      <c r="C12" s="61"/>
    </row>
    <row r="13" spans="1:3" x14ac:dyDescent="0.3">
      <c r="A13" s="41"/>
      <c r="B13" s="45"/>
      <c r="C13" s="42"/>
    </row>
    <row r="14" spans="1:3" x14ac:dyDescent="0.3">
      <c r="A14" s="41"/>
      <c r="B14" s="45"/>
      <c r="C14" s="42"/>
    </row>
    <row r="15" spans="1:3" ht="15" customHeight="1" x14ac:dyDescent="0.3">
      <c r="A15" s="228" t="s">
        <v>95</v>
      </c>
      <c r="B15" s="228"/>
      <c r="C15" s="228"/>
    </row>
    <row r="16" spans="1:3" x14ac:dyDescent="0.3">
      <c r="A16" s="41"/>
      <c r="B16" s="42"/>
      <c r="C16" s="42"/>
    </row>
    <row r="17" spans="1:3" ht="25.5" customHeight="1" x14ac:dyDescent="0.3">
      <c r="A17" s="40" t="s">
        <v>0</v>
      </c>
      <c r="B17" s="38" t="s">
        <v>1</v>
      </c>
      <c r="C17" s="40" t="s">
        <v>45</v>
      </c>
    </row>
    <row r="18" spans="1:3" x14ac:dyDescent="0.3">
      <c r="A18" s="39">
        <v>1</v>
      </c>
      <c r="B18" s="35">
        <v>2</v>
      </c>
      <c r="C18" s="35">
        <v>3</v>
      </c>
    </row>
    <row r="19" spans="1:3" ht="24.75" customHeight="1" x14ac:dyDescent="0.3">
      <c r="A19" s="20" t="s">
        <v>27</v>
      </c>
      <c r="B19" s="44" t="s">
        <v>21</v>
      </c>
      <c r="C19" s="35"/>
    </row>
    <row r="20" spans="1:3" ht="89.25" customHeight="1" x14ac:dyDescent="0.3">
      <c r="A20" s="20" t="s">
        <v>28</v>
      </c>
      <c r="B20" s="44" t="s">
        <v>23</v>
      </c>
      <c r="C20" s="35"/>
    </row>
    <row r="21" spans="1:3" ht="44.25" customHeight="1" x14ac:dyDescent="0.3">
      <c r="A21" s="20" t="s">
        <v>29</v>
      </c>
      <c r="B21" s="44" t="s">
        <v>24</v>
      </c>
      <c r="C21" s="35"/>
    </row>
    <row r="22" spans="1:3" ht="45.75" customHeight="1" x14ac:dyDescent="0.3">
      <c r="A22" s="221" t="s">
        <v>144</v>
      </c>
      <c r="B22" s="221"/>
      <c r="C22" s="2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topLeftCell="A39" zoomScale="90" zoomScaleNormal="100" zoomScaleSheetLayoutView="90" workbookViewId="0">
      <selection activeCell="D48" sqref="D48"/>
    </sheetView>
  </sheetViews>
  <sheetFormatPr defaultColWidth="9.109375" defaultRowHeight="13.2" x14ac:dyDescent="0.3"/>
  <cols>
    <col min="1" max="1" width="37.109375" style="8" customWidth="1"/>
    <col min="2" max="2" width="9.109375" style="8"/>
    <col min="3" max="6" width="13.88671875" style="8" customWidth="1"/>
    <col min="7" max="7" width="10.6640625" style="8" customWidth="1"/>
    <col min="8" max="8" width="13.6640625" style="8" customWidth="1"/>
    <col min="9" max="9" width="9.109375" style="8" customWidth="1"/>
    <col min="10" max="10" width="16.88671875" style="8" customWidth="1"/>
    <col min="11" max="11" width="9.109375" style="8" customWidth="1"/>
    <col min="12" max="12" width="9.109375" style="8"/>
    <col min="13" max="13" width="9.109375" style="8" customWidth="1"/>
    <col min="14" max="16384" width="9.109375" style="8"/>
  </cols>
  <sheetData>
    <row r="1" spans="1:107" x14ac:dyDescent="0.3">
      <c r="A1" s="229" t="s">
        <v>131</v>
      </c>
      <c r="B1" s="229"/>
      <c r="C1" s="229"/>
      <c r="D1" s="229"/>
      <c r="E1" s="229"/>
      <c r="F1" s="229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3">
      <c r="A2" s="226" t="s">
        <v>226</v>
      </c>
      <c r="B2" s="226"/>
      <c r="C2" s="226"/>
      <c r="D2" s="226"/>
      <c r="E2" s="226"/>
      <c r="F2" s="226"/>
    </row>
    <row r="3" spans="1:107" x14ac:dyDescent="0.3">
      <c r="A3" s="17"/>
      <c r="B3" s="17"/>
      <c r="C3" s="17"/>
      <c r="D3" s="17"/>
      <c r="E3" s="17"/>
      <c r="F3" s="154"/>
    </row>
    <row r="4" spans="1:107" ht="52.8" x14ac:dyDescent="0.3">
      <c r="A4" s="13" t="s">
        <v>0</v>
      </c>
      <c r="B4" s="13" t="s">
        <v>96</v>
      </c>
      <c r="C4" s="39" t="s">
        <v>235</v>
      </c>
      <c r="D4" s="39" t="s">
        <v>232</v>
      </c>
      <c r="E4" s="13" t="s">
        <v>210</v>
      </c>
      <c r="F4" s="13" t="s">
        <v>236</v>
      </c>
    </row>
    <row r="5" spans="1:107" x14ac:dyDescent="0.3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39.6" x14ac:dyDescent="0.3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3">
      <c r="A7" s="104" t="s">
        <v>103</v>
      </c>
      <c r="B7" s="105" t="s">
        <v>98</v>
      </c>
      <c r="C7" s="106">
        <v>139247.66</v>
      </c>
      <c r="D7" s="106">
        <f>'Стр 4-5 (2018)'!E32/1000</f>
        <v>175814.144</v>
      </c>
      <c r="E7" s="106">
        <f>'Стр 4-5 (2019)'!E31/1000</f>
        <v>175000</v>
      </c>
      <c r="F7" s="106">
        <f>'Стр 4-5 (2020)'!E31/1000</f>
        <v>185533.08</v>
      </c>
    </row>
    <row r="8" spans="1:107" ht="26.4" x14ac:dyDescent="0.3">
      <c r="A8" s="19" t="s">
        <v>169</v>
      </c>
      <c r="B8" s="39" t="s">
        <v>98</v>
      </c>
      <c r="C8" s="157">
        <f>C7*30.69719%</f>
        <v>42745.118760753998</v>
      </c>
      <c r="D8" s="157">
        <f>D7*30.69719%</f>
        <v>53970.001830553592</v>
      </c>
      <c r="E8" s="78">
        <f t="shared" ref="E8" si="0">E7*30.69719%</f>
        <v>53720.082499999997</v>
      </c>
      <c r="F8" s="78">
        <f t="shared" ref="F8" si="1">F7*30.69719%</f>
        <v>56953.44208045199</v>
      </c>
    </row>
    <row r="9" spans="1:107" x14ac:dyDescent="0.3">
      <c r="A9" s="19" t="s">
        <v>4</v>
      </c>
      <c r="B9" s="39"/>
      <c r="C9" s="157"/>
      <c r="D9" s="157"/>
      <c r="E9" s="78"/>
      <c r="F9" s="78"/>
    </row>
    <row r="10" spans="1:107" ht="39.6" x14ac:dyDescent="0.3">
      <c r="A10" s="19" t="s">
        <v>244</v>
      </c>
      <c r="B10" s="39" t="s">
        <v>98</v>
      </c>
      <c r="C10" s="157">
        <v>4627.08</v>
      </c>
      <c r="D10" s="157">
        <v>4948.49</v>
      </c>
      <c r="E10" s="157">
        <v>5415.76</v>
      </c>
      <c r="F10" s="157">
        <v>5671.51</v>
      </c>
      <c r="G10" s="70"/>
    </row>
    <row r="11" spans="1:107" ht="26.4" x14ac:dyDescent="0.3">
      <c r="A11" s="19" t="s">
        <v>130</v>
      </c>
      <c r="B11" s="39" t="s">
        <v>98</v>
      </c>
      <c r="C11" s="157">
        <f>C10*26.95%</f>
        <v>1246.9980600000001</v>
      </c>
      <c r="D11" s="157">
        <f>D10*36.991%</f>
        <v>1830.4959358999999</v>
      </c>
      <c r="E11" s="157">
        <f>E10*39.9949%</f>
        <v>2166.02779624</v>
      </c>
      <c r="F11" s="157">
        <f>F10*42.7008%</f>
        <v>2421.7801420800001</v>
      </c>
      <c r="G11" s="70"/>
    </row>
    <row r="12" spans="1:107" ht="26.4" x14ac:dyDescent="0.3">
      <c r="A12" s="19" t="s">
        <v>104</v>
      </c>
      <c r="B12" s="39" t="s">
        <v>98</v>
      </c>
      <c r="C12" s="157">
        <f t="shared" ref="C12:F13" si="2">C7-C10</f>
        <v>134620.58000000002</v>
      </c>
      <c r="D12" s="157">
        <f>D7-D10</f>
        <v>170865.65400000001</v>
      </c>
      <c r="E12" s="157">
        <f t="shared" si="2"/>
        <v>169584.24</v>
      </c>
      <c r="F12" s="157">
        <f t="shared" si="2"/>
        <v>179861.56999999998</v>
      </c>
    </row>
    <row r="13" spans="1:107" ht="26.4" x14ac:dyDescent="0.3">
      <c r="A13" s="19" t="s">
        <v>130</v>
      </c>
      <c r="B13" s="39" t="s">
        <v>98</v>
      </c>
      <c r="C13" s="157">
        <f t="shared" si="2"/>
        <v>41498.120700754</v>
      </c>
      <c r="D13" s="157">
        <f>D8-D11</f>
        <v>52139.505894653594</v>
      </c>
      <c r="E13" s="78">
        <f t="shared" si="2"/>
        <v>51554.054703759997</v>
      </c>
      <c r="F13" s="78">
        <f t="shared" si="2"/>
        <v>54531.661938371988</v>
      </c>
    </row>
    <row r="14" spans="1:107" ht="66" x14ac:dyDescent="0.3">
      <c r="A14" s="104" t="s">
        <v>105</v>
      </c>
      <c r="B14" s="105" t="s">
        <v>98</v>
      </c>
      <c r="C14" s="106">
        <f>C16+C17+C18+C19</f>
        <v>95595.539688000004</v>
      </c>
      <c r="D14" s="106">
        <f>D16+D17+D18+D19</f>
        <v>131243.32800000001</v>
      </c>
      <c r="E14" s="106">
        <f>E16+E17+E18+E19</f>
        <v>128671.20000000001</v>
      </c>
      <c r="F14" s="106">
        <f>F16+F17+F18+F19</f>
        <v>137340</v>
      </c>
    </row>
    <row r="15" spans="1:107" x14ac:dyDescent="0.3">
      <c r="A15" s="19" t="s">
        <v>106</v>
      </c>
      <c r="B15" s="39"/>
      <c r="C15" s="78"/>
      <c r="D15" s="78"/>
      <c r="E15" s="39"/>
      <c r="F15" s="39"/>
    </row>
    <row r="16" spans="1:107" x14ac:dyDescent="0.3">
      <c r="A16" s="19" t="s">
        <v>180</v>
      </c>
      <c r="B16" s="39" t="s">
        <v>98</v>
      </c>
      <c r="C16" s="157">
        <f>C30*C37*12/1000</f>
        <v>3083.7664799999993</v>
      </c>
      <c r="D16" s="157">
        <f>D37*D30*12/1000</f>
        <v>3645.6480000000001</v>
      </c>
      <c r="E16" s="78">
        <f>E37*E30*12/1000</f>
        <v>3729.6</v>
      </c>
      <c r="F16" s="78">
        <f>F34*2*F30*12/1000</f>
        <v>3924</v>
      </c>
    </row>
    <row r="17" spans="1:12" ht="39.6" x14ac:dyDescent="0.3">
      <c r="A17" s="19" t="s">
        <v>181</v>
      </c>
      <c r="B17" s="39" t="s">
        <v>98</v>
      </c>
      <c r="C17" s="157">
        <f>C31*C38*12/1000</f>
        <v>10899.846863999999</v>
      </c>
      <c r="D17" s="157">
        <f>D38*D31*12/1000</f>
        <v>13367.376</v>
      </c>
      <c r="E17" s="78">
        <f>E34*E31*12/1000</f>
        <v>13675.2</v>
      </c>
      <c r="F17" s="78">
        <f>F34*F31*12/1000</f>
        <v>14388</v>
      </c>
    </row>
    <row r="18" spans="1:12" ht="52.8" x14ac:dyDescent="0.3">
      <c r="A18" s="19" t="s">
        <v>182</v>
      </c>
      <c r="B18" s="39" t="s">
        <v>98</v>
      </c>
      <c r="C18" s="157">
        <f>C32*C39*12/1000</f>
        <v>6312.9991439999994</v>
      </c>
      <c r="D18" s="157">
        <f>D39*D32*12/1000</f>
        <v>8506.5120000000006</v>
      </c>
      <c r="E18" s="78">
        <f>E34*E32*12/1000</f>
        <v>8080.8</v>
      </c>
      <c r="F18" s="78">
        <f>F34*F32*12/1000</f>
        <v>9156</v>
      </c>
    </row>
    <row r="19" spans="1:12" ht="52.8" x14ac:dyDescent="0.3">
      <c r="A19" s="19" t="s">
        <v>183</v>
      </c>
      <c r="B19" s="39" t="s">
        <v>98</v>
      </c>
      <c r="C19" s="157">
        <f>C33*C40*12/1000</f>
        <v>75298.927200000006</v>
      </c>
      <c r="D19" s="157">
        <f>D40*D33*12/1000</f>
        <v>105723.792</v>
      </c>
      <c r="E19" s="78">
        <f>E34*E33*12/1000</f>
        <v>103185.60000000001</v>
      </c>
      <c r="F19" s="78">
        <f>F34*F33*12/1000</f>
        <v>109872</v>
      </c>
    </row>
    <row r="20" spans="1:12" ht="26.4" x14ac:dyDescent="0.3">
      <c r="A20" s="167" t="s">
        <v>107</v>
      </c>
      <c r="B20" s="105" t="s">
        <v>97</v>
      </c>
      <c r="C20" s="106">
        <v>297</v>
      </c>
      <c r="D20" s="106">
        <v>297</v>
      </c>
      <c r="E20" s="106">
        <v>297</v>
      </c>
      <c r="F20" s="106">
        <v>297</v>
      </c>
      <c r="L20" s="165"/>
    </row>
    <row r="21" spans="1:12" x14ac:dyDescent="0.3">
      <c r="A21" s="19" t="s">
        <v>4</v>
      </c>
      <c r="B21" s="39"/>
      <c r="C21" s="78"/>
      <c r="D21" s="78"/>
      <c r="E21" s="78"/>
      <c r="F21" s="78"/>
    </row>
    <row r="22" spans="1:12" ht="52.8" x14ac:dyDescent="0.3">
      <c r="A22" s="19" t="s">
        <v>193</v>
      </c>
      <c r="B22" s="39" t="s">
        <v>97</v>
      </c>
      <c r="C22" s="78">
        <v>2.8</v>
      </c>
      <c r="D22" s="78">
        <v>3</v>
      </c>
      <c r="E22" s="78">
        <v>4</v>
      </c>
      <c r="F22" s="78">
        <v>4</v>
      </c>
      <c r="H22" s="70"/>
      <c r="I22" s="70"/>
    </row>
    <row r="23" spans="1:12" ht="39.6" x14ac:dyDescent="0.3">
      <c r="A23" s="19" t="s">
        <v>108</v>
      </c>
      <c r="B23" s="39" t="s">
        <v>97</v>
      </c>
      <c r="C23" s="78">
        <f>C20-C22</f>
        <v>294.2</v>
      </c>
      <c r="D23" s="78">
        <f>D20-D22</f>
        <v>294</v>
      </c>
      <c r="E23" s="78">
        <f t="shared" ref="E23" si="3">E20-E22</f>
        <v>293</v>
      </c>
      <c r="F23" s="78">
        <f t="shared" ref="F23" si="4">F20-F22</f>
        <v>293</v>
      </c>
    </row>
    <row r="24" spans="1:12" ht="52.8" x14ac:dyDescent="0.3">
      <c r="A24" s="167" t="s">
        <v>123</v>
      </c>
      <c r="B24" s="105" t="s">
        <v>97</v>
      </c>
      <c r="C24" s="106">
        <v>297</v>
      </c>
      <c r="D24" s="106">
        <v>297</v>
      </c>
      <c r="E24" s="106">
        <v>297</v>
      </c>
      <c r="F24" s="106">
        <v>297</v>
      </c>
    </row>
    <row r="25" spans="1:12" x14ac:dyDescent="0.3">
      <c r="A25" s="19" t="s">
        <v>4</v>
      </c>
      <c r="B25" s="39"/>
      <c r="C25" s="78"/>
      <c r="D25" s="78"/>
      <c r="E25" s="78"/>
      <c r="F25" s="78"/>
    </row>
    <row r="26" spans="1:12" ht="66" x14ac:dyDescent="0.3">
      <c r="A26" s="19" t="s">
        <v>128</v>
      </c>
      <c r="B26" s="39" t="s">
        <v>97</v>
      </c>
      <c r="C26" s="78">
        <v>2.8</v>
      </c>
      <c r="D26" s="78">
        <v>3</v>
      </c>
      <c r="E26" s="78">
        <v>4</v>
      </c>
      <c r="F26" s="78">
        <v>4</v>
      </c>
    </row>
    <row r="27" spans="1:12" ht="52.8" x14ac:dyDescent="0.3">
      <c r="A27" s="19" t="s">
        <v>129</v>
      </c>
      <c r="B27" s="39" t="s">
        <v>97</v>
      </c>
      <c r="C27" s="78">
        <f>C24-C26</f>
        <v>294.2</v>
      </c>
      <c r="D27" s="78">
        <f>D24-D26</f>
        <v>294</v>
      </c>
      <c r="E27" s="78">
        <f t="shared" ref="E27" si="5">E24-E26</f>
        <v>293</v>
      </c>
      <c r="F27" s="78">
        <f t="shared" ref="F27" si="6">F24-F26</f>
        <v>293</v>
      </c>
    </row>
    <row r="28" spans="1:12" ht="66" x14ac:dyDescent="0.3">
      <c r="A28" s="104" t="s">
        <v>124</v>
      </c>
      <c r="B28" s="105" t="s">
        <v>97</v>
      </c>
      <c r="C28" s="106">
        <f>C30+C31+C32+C33</f>
        <v>198.9</v>
      </c>
      <c r="D28" s="106">
        <f>D30+D31+D32+D33</f>
        <v>213</v>
      </c>
      <c r="E28" s="106">
        <f t="shared" ref="E28" si="7">E30+E31+E32+E33</f>
        <v>204</v>
      </c>
      <c r="F28" s="106">
        <f t="shared" ref="F28" si="8">F30+F31+F32+F33</f>
        <v>207</v>
      </c>
    </row>
    <row r="29" spans="1:12" x14ac:dyDescent="0.3">
      <c r="A29" s="19" t="s">
        <v>106</v>
      </c>
      <c r="B29" s="39"/>
      <c r="C29" s="39"/>
      <c r="D29" s="39"/>
      <c r="E29" s="78"/>
      <c r="F29" s="78"/>
    </row>
    <row r="30" spans="1:12" x14ac:dyDescent="0.3">
      <c r="A30" s="19" t="s">
        <v>180</v>
      </c>
      <c r="B30" s="39" t="s">
        <v>97</v>
      </c>
      <c r="C30" s="78">
        <v>3</v>
      </c>
      <c r="D30" s="78">
        <v>3</v>
      </c>
      <c r="E30" s="78">
        <v>3</v>
      </c>
      <c r="F30" s="78">
        <v>3</v>
      </c>
    </row>
    <row r="31" spans="1:12" ht="39.6" x14ac:dyDescent="0.3">
      <c r="A31" s="19" t="s">
        <v>181</v>
      </c>
      <c r="B31" s="39" t="s">
        <v>97</v>
      </c>
      <c r="C31" s="78">
        <v>21.2</v>
      </c>
      <c r="D31" s="78">
        <v>22</v>
      </c>
      <c r="E31" s="78">
        <v>22</v>
      </c>
      <c r="F31" s="78">
        <v>22</v>
      </c>
    </row>
    <row r="32" spans="1:12" ht="52.8" x14ac:dyDescent="0.3">
      <c r="A32" s="19" t="s">
        <v>182</v>
      </c>
      <c r="B32" s="39" t="s">
        <v>97</v>
      </c>
      <c r="C32" s="78">
        <v>10.7</v>
      </c>
      <c r="D32" s="78">
        <v>14</v>
      </c>
      <c r="E32" s="78">
        <v>13</v>
      </c>
      <c r="F32" s="78">
        <v>14</v>
      </c>
    </row>
    <row r="33" spans="1:11" ht="52.8" x14ac:dyDescent="0.3">
      <c r="A33" s="19" t="s">
        <v>183</v>
      </c>
      <c r="B33" s="39" t="s">
        <v>97</v>
      </c>
      <c r="C33" s="78">
        <v>164</v>
      </c>
      <c r="D33" s="78">
        <v>174</v>
      </c>
      <c r="E33" s="78">
        <v>166</v>
      </c>
      <c r="F33" s="78">
        <v>168</v>
      </c>
    </row>
    <row r="34" spans="1:11" ht="66" x14ac:dyDescent="0.3">
      <c r="A34" s="104" t="s">
        <v>125</v>
      </c>
      <c r="B34" s="105" t="s">
        <v>99</v>
      </c>
      <c r="C34" s="106">
        <v>46600</v>
      </c>
      <c r="D34" s="106">
        <v>49300</v>
      </c>
      <c r="E34" s="106">
        <v>51800</v>
      </c>
      <c r="F34" s="106">
        <v>54500</v>
      </c>
    </row>
    <row r="35" spans="1:11" ht="39.6" x14ac:dyDescent="0.3">
      <c r="A35" s="104" t="s">
        <v>126</v>
      </c>
      <c r="B35" s="105" t="s">
        <v>99</v>
      </c>
      <c r="C35" s="105" t="s">
        <v>7</v>
      </c>
      <c r="D35" s="105" t="s">
        <v>7</v>
      </c>
      <c r="E35" s="105" t="s">
        <v>7</v>
      </c>
      <c r="F35" s="105" t="s">
        <v>7</v>
      </c>
    </row>
    <row r="36" spans="1:11" ht="39.6" x14ac:dyDescent="0.3">
      <c r="A36" s="19" t="s">
        <v>110</v>
      </c>
      <c r="B36" s="39"/>
      <c r="C36" s="39"/>
      <c r="D36" s="39"/>
      <c r="E36" s="39"/>
      <c r="F36" s="39"/>
    </row>
    <row r="37" spans="1:11" x14ac:dyDescent="0.3">
      <c r="A37" s="19" t="s">
        <v>180</v>
      </c>
      <c r="B37" s="39" t="s">
        <v>99</v>
      </c>
      <c r="C37" s="78">
        <v>85660.18</v>
      </c>
      <c r="D37" s="78">
        <v>101268</v>
      </c>
      <c r="E37" s="78">
        <f>E34*2</f>
        <v>103600</v>
      </c>
      <c r="F37" s="78">
        <f>F34*2</f>
        <v>109000</v>
      </c>
    </row>
    <row r="38" spans="1:11" ht="39.6" x14ac:dyDescent="0.3">
      <c r="A38" s="19" t="s">
        <v>181</v>
      </c>
      <c r="B38" s="39" t="s">
        <v>99</v>
      </c>
      <c r="C38" s="78">
        <v>42845.31</v>
      </c>
      <c r="D38" s="78">
        <v>50634</v>
      </c>
      <c r="E38" s="78">
        <v>51800</v>
      </c>
      <c r="F38" s="78">
        <v>54500</v>
      </c>
    </row>
    <row r="39" spans="1:11" ht="52.8" x14ac:dyDescent="0.3">
      <c r="A39" s="19" t="s">
        <v>182</v>
      </c>
      <c r="B39" s="39" t="s">
        <v>99</v>
      </c>
      <c r="C39" s="78">
        <v>49166.66</v>
      </c>
      <c r="D39" s="78">
        <v>50634</v>
      </c>
      <c r="E39" s="78">
        <v>51800</v>
      </c>
      <c r="F39" s="78">
        <v>54500</v>
      </c>
    </row>
    <row r="40" spans="1:11" ht="52.8" x14ac:dyDescent="0.3">
      <c r="A40" s="19" t="s">
        <v>183</v>
      </c>
      <c r="B40" s="39" t="s">
        <v>99</v>
      </c>
      <c r="C40" s="78">
        <v>38261.65</v>
      </c>
      <c r="D40" s="78">
        <v>50634</v>
      </c>
      <c r="E40" s="78">
        <v>51800</v>
      </c>
      <c r="F40" s="78">
        <v>54500</v>
      </c>
      <c r="G40" s="145"/>
    </row>
    <row r="41" spans="1:11" ht="66" x14ac:dyDescent="0.3">
      <c r="A41" s="104" t="s">
        <v>109</v>
      </c>
      <c r="B41" s="105" t="s">
        <v>100</v>
      </c>
      <c r="C41" s="107">
        <f>I41</f>
        <v>352.46623585221158</v>
      </c>
      <c r="D41" s="107">
        <f>I42</f>
        <v>278.64681353509303</v>
      </c>
      <c r="E41" s="107">
        <f>I43</f>
        <v>229.78296</v>
      </c>
      <c r="F41" s="107">
        <f>I44</f>
        <v>226.97279509400698</v>
      </c>
      <c r="G41" s="70">
        <f>C10/C22/12*1000</f>
        <v>137710.71428571429</v>
      </c>
      <c r="H41" s="70">
        <f>C7/C20/12*1000</f>
        <v>39070.611672278341</v>
      </c>
      <c r="I41" s="70">
        <f>G41/H41*100</f>
        <v>352.46623585221158</v>
      </c>
      <c r="J41" s="70">
        <f>C12/C23/12*1000</f>
        <v>38131.820756854759</v>
      </c>
      <c r="K41" s="146">
        <f>G41/J41*100</f>
        <v>361.143820442822</v>
      </c>
    </row>
    <row r="42" spans="1:11" ht="66" x14ac:dyDescent="0.3">
      <c r="A42" s="104" t="s">
        <v>127</v>
      </c>
      <c r="B42" s="105" t="s">
        <v>100</v>
      </c>
      <c r="C42" s="105" t="s">
        <v>7</v>
      </c>
      <c r="D42" s="105" t="s">
        <v>7</v>
      </c>
      <c r="E42" s="105" t="s">
        <v>7</v>
      </c>
      <c r="F42" s="105" t="s">
        <v>7</v>
      </c>
      <c r="G42" s="70">
        <f>D10/D22/12*1000</f>
        <v>137458.05555555553</v>
      </c>
      <c r="H42" s="70">
        <f>D7/D20/12*1000</f>
        <v>49330.567901234564</v>
      </c>
      <c r="I42" s="70">
        <f>G42/H42*100</f>
        <v>278.64681353509303</v>
      </c>
      <c r="J42" s="70">
        <f>D12/D23/5.28*1000</f>
        <v>110071.15414347556</v>
      </c>
      <c r="K42" s="146">
        <f>G42/J42*100</f>
        <v>124.8810886241655</v>
      </c>
    </row>
    <row r="43" spans="1:11" ht="39.6" x14ac:dyDescent="0.3">
      <c r="A43" s="19" t="s">
        <v>110</v>
      </c>
      <c r="B43" s="39"/>
      <c r="C43" s="39"/>
      <c r="D43" s="39"/>
      <c r="E43" s="39"/>
      <c r="F43" s="39"/>
      <c r="G43" s="70">
        <f>E10/E22/12*1000</f>
        <v>112828.33333333333</v>
      </c>
      <c r="H43" s="70">
        <f>E7/E20/12*1000</f>
        <v>49102.13243546577</v>
      </c>
      <c r="I43" s="70">
        <f>G43/H43*100</f>
        <v>229.78296</v>
      </c>
      <c r="J43" s="70">
        <f>E12/E23/12*1000</f>
        <v>48232.150170648463</v>
      </c>
      <c r="K43" s="146">
        <f>H43/J43*100</f>
        <v>101.80373933515145</v>
      </c>
    </row>
    <row r="44" spans="1:11" x14ac:dyDescent="0.3">
      <c r="A44" s="19" t="s">
        <v>180</v>
      </c>
      <c r="B44" s="39" t="s">
        <v>100</v>
      </c>
      <c r="C44" s="78">
        <f>C37/C34*100</f>
        <v>183.82012875536481</v>
      </c>
      <c r="D44" s="78">
        <f>D37/D34*100</f>
        <v>205.41176470588235</v>
      </c>
      <c r="E44" s="78">
        <f>E37/E34*100</f>
        <v>200</v>
      </c>
      <c r="F44" s="78">
        <f>F37/F34*100</f>
        <v>200</v>
      </c>
      <c r="G44" s="70">
        <f>F10/F22/12*1000</f>
        <v>118156.45833333333</v>
      </c>
      <c r="H44" s="70">
        <f>F7/F20/12*1000</f>
        <v>52057.542087542082</v>
      </c>
      <c r="I44" s="70">
        <f>G44/H44*100</f>
        <v>226.97279509400698</v>
      </c>
      <c r="J44" s="70">
        <f>F12/F23/12*1000</f>
        <v>51155.167804323093</v>
      </c>
      <c r="K44" s="70">
        <f>H44/J44*100</f>
        <v>101.76399437622943</v>
      </c>
    </row>
    <row r="45" spans="1:11" ht="39.6" x14ac:dyDescent="0.3">
      <c r="A45" s="19" t="s">
        <v>181</v>
      </c>
      <c r="B45" s="39" t="s">
        <v>100</v>
      </c>
      <c r="C45" s="78">
        <f>C38/C34*100</f>
        <v>91.942725321888403</v>
      </c>
      <c r="D45" s="78">
        <f>D38/D34*100</f>
        <v>102.70588235294117</v>
      </c>
      <c r="E45" s="78">
        <f>E38/E34*100</f>
        <v>100</v>
      </c>
      <c r="F45" s="78">
        <f>F38/F34*100</f>
        <v>100</v>
      </c>
    </row>
    <row r="46" spans="1:11" ht="52.8" x14ac:dyDescent="0.3">
      <c r="A46" s="19" t="s">
        <v>182</v>
      </c>
      <c r="B46" s="39" t="s">
        <v>100</v>
      </c>
      <c r="C46" s="78">
        <f>C39/C34*100</f>
        <v>105.50785407725323</v>
      </c>
      <c r="D46" s="78">
        <f>D39/D34*100</f>
        <v>102.70588235294117</v>
      </c>
      <c r="E46" s="78">
        <f>E39/E34*100</f>
        <v>100</v>
      </c>
      <c r="F46" s="78">
        <f>F39/F34*100</f>
        <v>100</v>
      </c>
    </row>
    <row r="47" spans="1:11" ht="52.8" x14ac:dyDescent="0.3">
      <c r="A47" s="19" t="s">
        <v>183</v>
      </c>
      <c r="B47" s="39" t="s">
        <v>100</v>
      </c>
      <c r="C47" s="78">
        <f>C40/C34*100</f>
        <v>82.106545064377684</v>
      </c>
      <c r="D47" s="78">
        <f>D40/D34*100</f>
        <v>102.70588235294117</v>
      </c>
      <c r="E47" s="78">
        <f>E40/E34*100</f>
        <v>100</v>
      </c>
      <c r="F47" s="78">
        <f>F40/F34*100</f>
        <v>100</v>
      </c>
    </row>
    <row r="48" spans="1:11" ht="26.4" x14ac:dyDescent="0.3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9.6" x14ac:dyDescent="0.3">
      <c r="A49" s="104" t="s">
        <v>113</v>
      </c>
      <c r="B49" s="105" t="s">
        <v>102</v>
      </c>
      <c r="C49" s="106">
        <v>11958.6</v>
      </c>
      <c r="D49" s="106">
        <v>11958.6</v>
      </c>
      <c r="E49" s="106">
        <v>11958.6</v>
      </c>
      <c r="F49" s="106">
        <v>11958.6</v>
      </c>
    </row>
    <row r="50" spans="1:6" x14ac:dyDescent="0.3">
      <c r="A50" s="19" t="s">
        <v>4</v>
      </c>
      <c r="B50" s="39"/>
      <c r="C50" s="39"/>
      <c r="D50" s="39"/>
      <c r="E50" s="39"/>
      <c r="F50" s="39"/>
    </row>
    <row r="51" spans="1:6" ht="26.4" x14ac:dyDescent="0.3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2.8" x14ac:dyDescent="0.3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6.4" x14ac:dyDescent="0.3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6.4" x14ac:dyDescent="0.3">
      <c r="A54" s="104" t="s">
        <v>117</v>
      </c>
      <c r="B54" s="105" t="s">
        <v>98</v>
      </c>
      <c r="C54" s="106">
        <f>'[1]Стр 4-5 (2017)'!C55/1000</f>
        <v>0</v>
      </c>
      <c r="D54" s="106">
        <f>'Стр 4-5 (2018)'!D54/1000</f>
        <v>12655.193969999998</v>
      </c>
      <c r="E54" s="107">
        <f>'Стр 4-5 (2019)'!D53/1000</f>
        <v>13212.706</v>
      </c>
      <c r="F54" s="107">
        <f>'Стр 4-5 (2020)'!D53/1000</f>
        <v>13355.712</v>
      </c>
    </row>
    <row r="55" spans="1:6" ht="24.75" customHeight="1" x14ac:dyDescent="0.3">
      <c r="A55" s="19" t="s">
        <v>4</v>
      </c>
      <c r="B55" s="39"/>
      <c r="C55" s="39"/>
      <c r="D55" s="39"/>
      <c r="E55" s="39"/>
      <c r="F55" s="39"/>
    </row>
    <row r="56" spans="1:6" ht="52.8" x14ac:dyDescent="0.3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6" x14ac:dyDescent="0.3">
      <c r="A57" s="104" t="s">
        <v>120</v>
      </c>
      <c r="B57" s="105" t="s">
        <v>119</v>
      </c>
      <c r="C57" s="105">
        <f>115400189/369336472</f>
        <v>0.31245273009484964</v>
      </c>
      <c r="D57" s="105">
        <f>115400189/369336472</f>
        <v>0.31245273009484964</v>
      </c>
      <c r="E57" s="105">
        <f>122438423/371306472</f>
        <v>0.32975030664157129</v>
      </c>
      <c r="F57" s="105">
        <f>129483657/373276472</f>
        <v>0.34688405702677128</v>
      </c>
    </row>
    <row r="58" spans="1:6" ht="66" x14ac:dyDescent="0.3">
      <c r="A58" s="104" t="s">
        <v>121</v>
      </c>
      <c r="B58" s="105" t="s">
        <v>119</v>
      </c>
      <c r="C58" s="105">
        <f>2270000/369336472</f>
        <v>6.1461571550399169E-3</v>
      </c>
      <c r="D58" s="105">
        <f>2270000/369336472</f>
        <v>6.1461571550399169E-3</v>
      </c>
      <c r="E58" s="105">
        <f>2270000/371306472</f>
        <v>6.1135481635235271E-3</v>
      </c>
      <c r="F58" s="105">
        <f>2270000/373276472</f>
        <v>6.0812833657514853E-3</v>
      </c>
    </row>
    <row r="59" spans="1:6" ht="79.2" x14ac:dyDescent="0.3">
      <c r="A59" s="104" t="s">
        <v>122</v>
      </c>
      <c r="B59" s="105" t="s">
        <v>119</v>
      </c>
      <c r="C59" s="105">
        <v>0</v>
      </c>
      <c r="D59" s="105">
        <v>0</v>
      </c>
      <c r="E59" s="105">
        <v>0</v>
      </c>
      <c r="F59" s="105">
        <v>0</v>
      </c>
    </row>
    <row r="60" spans="1:6" x14ac:dyDescent="0.3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3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3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3">
      <c r="A63" s="37" t="s">
        <v>150</v>
      </c>
      <c r="B63" s="40"/>
      <c r="C63" s="40"/>
      <c r="D63" s="40"/>
      <c r="E63" s="40"/>
      <c r="F63" s="40"/>
    </row>
    <row r="64" spans="1:6" ht="39.6" x14ac:dyDescent="0.3">
      <c r="A64" s="104" t="s">
        <v>204</v>
      </c>
      <c r="B64" s="105" t="s">
        <v>119</v>
      </c>
      <c r="C64" s="105">
        <f>SUM(C66)</f>
        <v>4</v>
      </c>
      <c r="D64" s="105">
        <f t="shared" ref="D64:F64" si="9">SUM(D66)</f>
        <v>4</v>
      </c>
      <c r="E64" s="105">
        <f t="shared" si="9"/>
        <v>4</v>
      </c>
      <c r="F64" s="105">
        <f t="shared" si="9"/>
        <v>4</v>
      </c>
    </row>
    <row r="65" spans="1:6" x14ac:dyDescent="0.3">
      <c r="A65" s="19" t="s">
        <v>4</v>
      </c>
      <c r="B65" s="39"/>
      <c r="C65" s="39"/>
      <c r="D65" s="39"/>
      <c r="E65" s="39"/>
      <c r="F65" s="39"/>
    </row>
    <row r="66" spans="1:6" ht="52.8" x14ac:dyDescent="0.3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6.4" x14ac:dyDescent="0.3">
      <c r="A67" s="37" t="s">
        <v>152</v>
      </c>
      <c r="B67" s="40"/>
      <c r="C67" s="40"/>
      <c r="D67" s="40"/>
      <c r="E67" s="40"/>
      <c r="F67" s="40"/>
    </row>
    <row r="68" spans="1:6" ht="66" x14ac:dyDescent="0.3">
      <c r="A68" s="104" t="s">
        <v>153</v>
      </c>
      <c r="B68" s="105" t="s">
        <v>132</v>
      </c>
      <c r="C68" s="105">
        <v>1</v>
      </c>
      <c r="D68" s="105">
        <v>1</v>
      </c>
      <c r="E68" s="105">
        <v>1</v>
      </c>
      <c r="F68" s="105">
        <v>1</v>
      </c>
    </row>
    <row r="69" spans="1:6" ht="52.8" x14ac:dyDescent="0.3">
      <c r="A69" s="104" t="s">
        <v>154</v>
      </c>
      <c r="B69" s="105" t="s">
        <v>132</v>
      </c>
      <c r="C69" s="105">
        <v>1</v>
      </c>
      <c r="D69" s="105">
        <v>1</v>
      </c>
      <c r="E69" s="105">
        <v>1</v>
      </c>
      <c r="F69" s="105">
        <v>1</v>
      </c>
    </row>
    <row r="70" spans="1:6" x14ac:dyDescent="0.3">
      <c r="A70" s="35"/>
      <c r="B70" s="35"/>
      <c r="C70" s="35"/>
      <c r="D70" s="35"/>
      <c r="E70" s="35"/>
      <c r="F70" s="35"/>
    </row>
    <row r="71" spans="1:6" x14ac:dyDescent="0.3">
      <c r="A71" s="42"/>
      <c r="B71" s="42"/>
      <c r="C71" s="42"/>
      <c r="D71" s="42"/>
      <c r="E71" s="42"/>
      <c r="F71" s="42"/>
    </row>
    <row r="72" spans="1:6" x14ac:dyDescent="0.3">
      <c r="A72" s="42"/>
      <c r="B72" s="42"/>
      <c r="C72" s="42"/>
      <c r="D72" s="42"/>
      <c r="E72" s="42"/>
      <c r="F72" s="42"/>
    </row>
    <row r="73" spans="1:6" ht="6.75" customHeight="1" x14ac:dyDescent="0.3">
      <c r="A73" s="42"/>
      <c r="B73" s="42"/>
      <c r="C73" s="42"/>
      <c r="D73" s="42"/>
      <c r="E73" s="42"/>
      <c r="F73" s="42"/>
    </row>
    <row r="74" spans="1:6" ht="40.5" customHeight="1" x14ac:dyDescent="0.3">
      <c r="A74" s="209" t="s">
        <v>170</v>
      </c>
      <c r="B74" s="209"/>
      <c r="C74" s="209"/>
      <c r="D74" s="209"/>
      <c r="E74" s="209"/>
      <c r="F74" s="209"/>
    </row>
    <row r="75" spans="1:6" x14ac:dyDescent="0.3">
      <c r="A75" s="42"/>
      <c r="B75" s="42"/>
      <c r="C75" s="42"/>
      <c r="D75" s="42"/>
      <c r="E75" s="42"/>
      <c r="F75" s="42"/>
    </row>
    <row r="76" spans="1:6" x14ac:dyDescent="0.3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6" sqref="E6"/>
    </sheetView>
  </sheetViews>
  <sheetFormatPr defaultColWidth="9.109375" defaultRowHeight="13.2" x14ac:dyDescent="0.25"/>
  <cols>
    <col min="1" max="1" width="37.44140625" style="1" customWidth="1"/>
    <col min="2" max="2" width="12.5546875" style="1" customWidth="1"/>
    <col min="3" max="3" width="12.88671875" style="1" customWidth="1"/>
    <col min="4" max="4" width="3.5546875" style="1" customWidth="1"/>
    <col min="5" max="5" width="22.88671875" style="1" customWidth="1"/>
    <col min="6" max="16384" width="9.109375" style="1"/>
  </cols>
  <sheetData>
    <row r="1" spans="1:72" s="8" customFormat="1" ht="22.5" customHeight="1" x14ac:dyDescent="0.3">
      <c r="A1" s="234" t="s">
        <v>142</v>
      </c>
      <c r="B1" s="234"/>
      <c r="C1" s="234"/>
      <c r="D1" s="234"/>
      <c r="E1" s="23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3">
      <c r="A2" s="226" t="s">
        <v>227</v>
      </c>
      <c r="B2" s="226"/>
      <c r="C2" s="226"/>
      <c r="D2" s="226"/>
      <c r="E2" s="226"/>
    </row>
    <row r="4" spans="1:72" ht="39" customHeight="1" x14ac:dyDescent="0.25">
      <c r="A4" s="39" t="s">
        <v>133</v>
      </c>
      <c r="B4" s="39" t="s">
        <v>134</v>
      </c>
      <c r="C4" s="232" t="s">
        <v>136</v>
      </c>
      <c r="D4" s="233"/>
      <c r="E4" s="39" t="s">
        <v>137</v>
      </c>
    </row>
    <row r="5" spans="1:72" ht="43.5" customHeight="1" x14ac:dyDescent="0.25">
      <c r="A5" s="46" t="s">
        <v>140</v>
      </c>
      <c r="B5" s="40"/>
      <c r="C5" s="230"/>
      <c r="D5" s="231"/>
      <c r="E5" s="40"/>
    </row>
    <row r="6" spans="1:72" ht="85.5" customHeight="1" x14ac:dyDescent="0.25">
      <c r="A6" s="47" t="s">
        <v>228</v>
      </c>
      <c r="B6" s="39" t="s">
        <v>184</v>
      </c>
      <c r="C6" s="232" t="s">
        <v>188</v>
      </c>
      <c r="D6" s="233"/>
      <c r="E6" s="39">
        <v>569</v>
      </c>
    </row>
    <row r="7" spans="1:72" ht="39.6" x14ac:dyDescent="0.25">
      <c r="A7" s="46" t="s">
        <v>138</v>
      </c>
      <c r="B7" s="40"/>
      <c r="C7" s="230"/>
      <c r="D7" s="231"/>
      <c r="E7" s="40"/>
    </row>
    <row r="8" spans="1:72" x14ac:dyDescent="0.25">
      <c r="A8" s="47"/>
      <c r="B8" s="39"/>
      <c r="C8" s="232"/>
      <c r="D8" s="233"/>
      <c r="E8" s="39"/>
    </row>
    <row r="9" spans="1:72" ht="39" customHeight="1" x14ac:dyDescent="0.25">
      <c r="A9" s="46" t="s">
        <v>139</v>
      </c>
      <c r="B9" s="40"/>
      <c r="C9" s="230"/>
      <c r="D9" s="231"/>
      <c r="E9" s="40"/>
    </row>
    <row r="10" spans="1:72" x14ac:dyDescent="0.25">
      <c r="A10" s="47"/>
      <c r="B10" s="39"/>
      <c r="C10" s="232"/>
      <c r="D10" s="233"/>
      <c r="E10" s="39"/>
    </row>
    <row r="11" spans="1:72" ht="28.5" customHeight="1" x14ac:dyDescent="0.25">
      <c r="A11" s="46" t="s">
        <v>141</v>
      </c>
      <c r="B11" s="39"/>
      <c r="C11" s="232"/>
      <c r="D11" s="233"/>
      <c r="E11" s="39"/>
    </row>
    <row r="12" spans="1:72" ht="39.6" x14ac:dyDescent="0.25">
      <c r="A12" s="47" t="s">
        <v>185</v>
      </c>
      <c r="B12" s="39" t="s">
        <v>229</v>
      </c>
      <c r="C12" s="232" t="s">
        <v>187</v>
      </c>
      <c r="D12" s="233"/>
      <c r="E12" s="39">
        <v>0</v>
      </c>
    </row>
    <row r="13" spans="1:72" ht="39.6" x14ac:dyDescent="0.25">
      <c r="A13" s="47" t="s">
        <v>186</v>
      </c>
      <c r="B13" s="39" t="s">
        <v>229</v>
      </c>
      <c r="C13" s="232" t="s">
        <v>187</v>
      </c>
      <c r="D13" s="233"/>
      <c r="E13" s="39">
        <v>0</v>
      </c>
    </row>
    <row r="14" spans="1:72" x14ac:dyDescent="0.25">
      <c r="A14" s="46" t="s">
        <v>135</v>
      </c>
      <c r="B14" s="39" t="s">
        <v>7</v>
      </c>
      <c r="C14" s="232" t="s">
        <v>7</v>
      </c>
      <c r="D14" s="233"/>
      <c r="E14" s="39"/>
    </row>
    <row r="15" spans="1:72" x14ac:dyDescent="0.25">
      <c r="A15" s="48"/>
      <c r="B15" s="48"/>
      <c r="C15" s="48"/>
      <c r="D15" s="48"/>
      <c r="E15" s="48"/>
    </row>
    <row r="16" spans="1:72" x14ac:dyDescent="0.25">
      <c r="A16" s="49"/>
      <c r="B16" s="48"/>
      <c r="C16" s="51"/>
      <c r="D16" s="50"/>
      <c r="E16" s="82"/>
    </row>
    <row r="17" spans="1:5" x14ac:dyDescent="0.25">
      <c r="A17" s="81"/>
      <c r="B17" s="48"/>
      <c r="C17" s="51"/>
      <c r="D17" s="50"/>
      <c r="E17" s="82"/>
    </row>
    <row r="18" spans="1:5" x14ac:dyDescent="0.25">
      <c r="A18" s="121" t="s">
        <v>245</v>
      </c>
      <c r="B18" s="48"/>
      <c r="C18" s="120"/>
      <c r="D18" s="50"/>
      <c r="E18" s="120" t="s">
        <v>246</v>
      </c>
    </row>
    <row r="19" spans="1:5" x14ac:dyDescent="0.25">
      <c r="A19" s="48"/>
      <c r="B19" s="48"/>
      <c r="C19" s="119" t="s">
        <v>30</v>
      </c>
      <c r="D19" s="119"/>
      <c r="E19" s="119" t="s">
        <v>32</v>
      </c>
    </row>
    <row r="20" spans="1:5" x14ac:dyDescent="0.25">
      <c r="A20" s="52" t="s">
        <v>68</v>
      </c>
      <c r="B20" s="48"/>
      <c r="C20" s="120"/>
      <c r="D20" s="50"/>
      <c r="E20" s="156" t="s">
        <v>246</v>
      </c>
    </row>
    <row r="21" spans="1:5" x14ac:dyDescent="0.25">
      <c r="A21" s="48"/>
      <c r="B21" s="48"/>
      <c r="C21" s="119" t="s">
        <v>30</v>
      </c>
      <c r="D21" s="119"/>
      <c r="E21" s="119" t="s">
        <v>32</v>
      </c>
    </row>
    <row r="22" spans="1:5" x14ac:dyDescent="0.25">
      <c r="A22" s="53" t="s">
        <v>189</v>
      </c>
      <c r="B22" s="48"/>
      <c r="C22" s="48"/>
      <c r="D22" s="48"/>
      <c r="E22" s="48"/>
    </row>
    <row r="23" spans="1:5" ht="23.25" customHeight="1" x14ac:dyDescent="0.25">
      <c r="A23" s="48" t="s">
        <v>233</v>
      </c>
      <c r="B23" s="48"/>
      <c r="C23" s="48"/>
      <c r="D23" s="48"/>
      <c r="E23" s="4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Стр.1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LazarevaGA</cp:lastModifiedBy>
  <cp:lastPrinted>2018-11-01T06:59:12Z</cp:lastPrinted>
  <dcterms:created xsi:type="dcterms:W3CDTF">2015-12-03T07:22:45Z</dcterms:created>
  <dcterms:modified xsi:type="dcterms:W3CDTF">2018-11-01T09:53:01Z</dcterms:modified>
</cp:coreProperties>
</file>